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Bollore\2021\"/>
    </mc:Choice>
  </mc:AlternateContent>
  <xr:revisionPtr revIDLastSave="0" documentId="13_ncr:1_{F1C36D9B-3194-4CBB-89AD-66279A38F5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ynthèse données &amp; ratios" sheetId="14" r:id="rId1"/>
  </sheets>
  <externalReferences>
    <externalReference r:id="rId2"/>
  </externalReferences>
  <definedNames>
    <definedName name="crossborder">[1]CBI!#REF!</definedName>
    <definedName name="global">[1]CBI!#REF!</definedName>
    <definedName name="moodynum">[1]CBI!#REF!</definedName>
    <definedName name="stats_1">[1]CBI!#REF!</definedName>
    <definedName name="stats_2">[1]CBI!#REF!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4" l="1"/>
  <c r="D7" i="14"/>
  <c r="D8" i="14"/>
  <c r="D11" i="14"/>
  <c r="D12" i="14"/>
  <c r="D13" i="14"/>
  <c r="D14" i="14"/>
  <c r="D18" i="14"/>
  <c r="D19" i="14"/>
  <c r="D23" i="14"/>
  <c r="D24" i="14"/>
  <c r="D31" i="14"/>
  <c r="D30" i="14"/>
  <c r="D35" i="14"/>
  <c r="D40" i="14"/>
  <c r="C23" i="14"/>
  <c r="D53" i="14"/>
  <c r="D56" i="14"/>
  <c r="D57" i="14"/>
  <c r="D58" i="14"/>
  <c r="D29" i="14"/>
  <c r="D61" i="14"/>
  <c r="D63" i="14"/>
  <c r="D47" i="14"/>
  <c r="D48" i="14"/>
  <c r="D49" i="14"/>
  <c r="D50" i="14"/>
  <c r="D77" i="14"/>
  <c r="D78" i="14"/>
  <c r="D70" i="14"/>
  <c r="D51" i="14"/>
  <c r="D52" i="14"/>
  <c r="C56" i="14"/>
  <c r="C57" i="14"/>
  <c r="C58" i="14"/>
  <c r="C65" i="14"/>
  <c r="C66" i="14"/>
  <c r="C67" i="14"/>
  <c r="C68" i="14"/>
  <c r="C69" i="14"/>
  <c r="C35" i="14"/>
  <c r="C40" i="14"/>
  <c r="C30" i="14"/>
  <c r="C31" i="14"/>
  <c r="C24" i="14"/>
  <c r="C18" i="14"/>
  <c r="C19" i="14"/>
  <c r="C11" i="14"/>
  <c r="C12" i="14"/>
  <c r="C13" i="14"/>
  <c r="C14" i="14"/>
  <c r="C6" i="14"/>
  <c r="C7" i="14"/>
  <c r="C8" i="14"/>
  <c r="D69" i="14"/>
  <c r="D68" i="14"/>
  <c r="D67" i="14"/>
  <c r="D66" i="14"/>
  <c r="D65" i="14"/>
  <c r="D64" i="14"/>
  <c r="C53" i="14"/>
  <c r="C51" i="14"/>
  <c r="C49" i="14"/>
  <c r="C28" i="14"/>
  <c r="C52" i="14"/>
  <c r="C48" i="14"/>
  <c r="C50" i="14"/>
  <c r="C61" i="14"/>
  <c r="C89" i="14"/>
  <c r="D137" i="14" l="1"/>
  <c r="D138" i="14"/>
  <c r="D167" i="14"/>
  <c r="D146" i="14"/>
  <c r="D139" i="14"/>
  <c r="D147" i="14"/>
  <c r="D149" i="14"/>
  <c r="D150" i="14"/>
  <c r="C167" i="14"/>
  <c r="D133" i="14"/>
  <c r="C54" i="14"/>
  <c r="D165" i="14"/>
  <c r="D83" i="14"/>
  <c r="D86" i="14" s="1"/>
  <c r="D28" i="14"/>
  <c r="D142" i="14"/>
  <c r="C29" i="14"/>
  <c r="D87" i="14"/>
  <c r="D135" i="14"/>
  <c r="D162" i="14"/>
  <c r="D132" i="14"/>
  <c r="D131" i="14"/>
  <c r="D54" i="14"/>
  <c r="D166" i="14" s="1"/>
  <c r="D130" i="14"/>
  <c r="D89" i="14"/>
  <c r="C166" i="14"/>
  <c r="C165" i="14"/>
  <c r="D134" i="14"/>
  <c r="C5" i="14"/>
  <c r="D5" i="14"/>
  <c r="C70" i="14"/>
  <c r="D151" i="14" s="1"/>
  <c r="D148" i="14"/>
  <c r="C63" i="14"/>
  <c r="C158" i="14" l="1"/>
  <c r="C168" i="14"/>
  <c r="C170" i="14"/>
  <c r="C9" i="14"/>
  <c r="C15" i="14" s="1"/>
  <c r="C162" i="14"/>
  <c r="D136" i="14"/>
  <c r="D9" i="14"/>
  <c r="D15" i="14" s="1"/>
  <c r="D170" i="14"/>
  <c r="D168" i="14"/>
  <c r="D169" i="14"/>
  <c r="D158" i="14"/>
  <c r="D144" i="14"/>
  <c r="C169" i="14"/>
  <c r="D16" i="14" l="1"/>
  <c r="D20" i="14"/>
  <c r="C16" i="14"/>
  <c r="C20" i="14"/>
  <c r="D59" i="14" l="1"/>
  <c r="D25" i="14"/>
  <c r="D174" i="14"/>
  <c r="D21" i="14"/>
  <c r="D175" i="14"/>
  <c r="C25" i="14"/>
  <c r="C174" i="14"/>
  <c r="C21" i="14"/>
  <c r="C175" i="14"/>
  <c r="D60" i="14" l="1"/>
  <c r="D26" i="14"/>
  <c r="D32" i="14"/>
  <c r="C32" i="14"/>
  <c r="C26" i="14"/>
  <c r="D62" i="14" l="1"/>
  <c r="D37" i="14"/>
  <c r="D33" i="14"/>
  <c r="C37" i="14"/>
  <c r="C41" i="14" s="1"/>
  <c r="C59" i="14" s="1"/>
  <c r="C157" i="14"/>
  <c r="C161" i="14"/>
  <c r="C42" i="14"/>
  <c r="D38" i="14" l="1"/>
  <c r="D161" i="14"/>
  <c r="D160" i="14"/>
  <c r="D41" i="14"/>
  <c r="D157" i="14"/>
  <c r="D71" i="14"/>
  <c r="D173" i="14"/>
  <c r="D159" i="14"/>
  <c r="C60" i="14"/>
  <c r="D140" i="14"/>
  <c r="D42" i="14" l="1"/>
  <c r="C62" i="14"/>
  <c r="C159" i="14"/>
  <c r="C173" i="14"/>
  <c r="C160" i="14"/>
  <c r="D141" i="14"/>
  <c r="C71" i="14" l="1"/>
  <c r="D152" i="14" s="1"/>
  <c r="D143" i="14"/>
</calcChain>
</file>

<file path=xl/sharedStrings.xml><?xml version="1.0" encoding="utf-8"?>
<sst xmlns="http://schemas.openxmlformats.org/spreadsheetml/2006/main" count="207" uniqueCount="107">
  <si>
    <t>Charges immobilisées</t>
  </si>
  <si>
    <t>Immobilisations incorporelles</t>
  </si>
  <si>
    <t>Immobilisations corporelles</t>
  </si>
  <si>
    <t>Immobilisations financières</t>
  </si>
  <si>
    <t>Stocks</t>
  </si>
  <si>
    <t>Créances et emplois assimilés</t>
  </si>
  <si>
    <t>Capital</t>
  </si>
  <si>
    <t>Report à nouveau</t>
  </si>
  <si>
    <t>Clients, avances reçues</t>
  </si>
  <si>
    <t>Fournisseurs d'exploitation</t>
  </si>
  <si>
    <t>Dettes fiscales</t>
  </si>
  <si>
    <t>Dettes sociales</t>
  </si>
  <si>
    <t>Autres dettes</t>
  </si>
  <si>
    <t>Achats de marchandises</t>
  </si>
  <si>
    <t>Transports</t>
  </si>
  <si>
    <t>Services extérieurs</t>
  </si>
  <si>
    <t>Impôts et taxes</t>
  </si>
  <si>
    <t>Autres charges</t>
  </si>
  <si>
    <t>Dotations aux amortissements et aux provisions</t>
  </si>
  <si>
    <t>Charges de personnel</t>
  </si>
  <si>
    <t>Production immobilisée</t>
  </si>
  <si>
    <t>Autres produits</t>
  </si>
  <si>
    <t>Reprises de provisions</t>
  </si>
  <si>
    <t>RESULTAT D'EXPLOITATION</t>
  </si>
  <si>
    <t>TOTAL ACTIF</t>
  </si>
  <si>
    <t>TOTAL PASSIF</t>
  </si>
  <si>
    <t>Dettes circulantes et ressources assimilées H.A.O</t>
  </si>
  <si>
    <t>% CA</t>
  </si>
  <si>
    <t>VALEUR AJOUTEE</t>
  </si>
  <si>
    <t>PRODUITS D'EXPLOITATION</t>
  </si>
  <si>
    <t>EXCEDENT BRUT D'EXPLOITATION (EBE)</t>
  </si>
  <si>
    <t>Résultat financier</t>
  </si>
  <si>
    <t>Impôt sur le résultat</t>
  </si>
  <si>
    <t>Chiffre d'affaires (CA)</t>
  </si>
  <si>
    <t>Résultat hors activités ordinaires (H.A.O)</t>
  </si>
  <si>
    <t>Trésorerie - Actif</t>
  </si>
  <si>
    <t>Dettes financières</t>
  </si>
  <si>
    <t>Trésorerie - Passif</t>
  </si>
  <si>
    <t>TAUX DE CROISSANCE - BILAN (en %)</t>
  </si>
  <si>
    <t>BILAN (en millions de FCFA)</t>
  </si>
  <si>
    <t>INFORMATIONS COMPLEMENTAIRES (en millions de FCFA)</t>
  </si>
  <si>
    <t>Rentabilité</t>
  </si>
  <si>
    <t>Liquidité</t>
  </si>
  <si>
    <t>Flexibilité financière</t>
  </si>
  <si>
    <t>Notes</t>
  </si>
  <si>
    <t>(2) Dette financière nette =  Dette financière + trésorerie passif - trésorerie actif</t>
  </si>
  <si>
    <t>CA = Chiffre d'affaires</t>
  </si>
  <si>
    <t>Rotation des stocks (en nombre de fois / an)</t>
  </si>
  <si>
    <t>Couverture des stocks (en jours d'achats)</t>
  </si>
  <si>
    <t>(3) Taux de TVA utilisé 20%</t>
  </si>
  <si>
    <t>Marge de profit (RN/CA) en %</t>
  </si>
  <si>
    <t>Rotation des actifs (CA/TA) en %</t>
  </si>
  <si>
    <t>Levier financier (TA/FP) en %</t>
  </si>
  <si>
    <t>Retour sur fonds propres (RN/FP) en %</t>
  </si>
  <si>
    <t>ROA (RN/TA) en %</t>
  </si>
  <si>
    <t>Charges d'exploitation/Produits d'exploitation en %</t>
  </si>
  <si>
    <t>Ratio de liquidité générale (AC/PC) en %</t>
  </si>
  <si>
    <t>Ratio de liquidité de l'actif (AC/TA) en %</t>
  </si>
  <si>
    <t>Couverture des charges d'intérêt (EBE/intérêts financiers)</t>
  </si>
  <si>
    <t>(1) FCF = CAF +/- Variation de BFR - Investissements, ce sont les flux opérationnel libres de tout engagement opérationnel</t>
  </si>
  <si>
    <t>RATIOS</t>
  </si>
  <si>
    <t>Impôts différés</t>
  </si>
  <si>
    <t>Part des minoritaires</t>
  </si>
  <si>
    <t>Charges immobiliséés</t>
  </si>
  <si>
    <t>Parts des minoritaires</t>
  </si>
  <si>
    <t>RESULTAT NET DE L'ENSEMBLE CONSOLIDE</t>
  </si>
  <si>
    <t>Parts de l'entreprise consolidante</t>
  </si>
  <si>
    <t>Primes et réserves consolidées</t>
  </si>
  <si>
    <t>Dette financière nette (2)</t>
  </si>
  <si>
    <r>
      <t xml:space="preserve">Délais clients (en jours de CA) </t>
    </r>
    <r>
      <rPr>
        <sz val="12"/>
        <color indexed="23"/>
        <rFont val="Garamond"/>
        <family val="1"/>
      </rPr>
      <t>(3)</t>
    </r>
  </si>
  <si>
    <r>
      <t xml:space="preserve">Délais fournisseurs (en jours de CA) </t>
    </r>
    <r>
      <rPr>
        <sz val="12"/>
        <color indexed="23"/>
        <rFont val="Garamond"/>
        <family val="1"/>
      </rPr>
      <t>(3)</t>
    </r>
  </si>
  <si>
    <t>Production stockée</t>
  </si>
  <si>
    <t>Résultat net (part du groupe)</t>
  </si>
  <si>
    <t>Variation de BFR</t>
  </si>
  <si>
    <t>Investissements</t>
  </si>
  <si>
    <t>Remboursements d'emprunts</t>
  </si>
  <si>
    <t>Nouveaux emprunts</t>
  </si>
  <si>
    <t>Augmentation de capital / Subvention</t>
  </si>
  <si>
    <t>Distribution de dividendes</t>
  </si>
  <si>
    <t>Variation de trésorerie</t>
  </si>
  <si>
    <t>Trésorerie nette d'ouverture</t>
  </si>
  <si>
    <t>N/A</t>
  </si>
  <si>
    <t>check tréso bilan</t>
  </si>
  <si>
    <t>Trésorerie nette de clôture</t>
  </si>
  <si>
    <t>COMPTE DE RESULTATS (en millions de FCFA)</t>
  </si>
  <si>
    <t>Quote-part des sociétés mises en équivalence</t>
  </si>
  <si>
    <t>Report à onuveau</t>
  </si>
  <si>
    <t>Total des capitaux propres</t>
  </si>
  <si>
    <t>Capacité d'auto-financement globale (CAFG)</t>
  </si>
  <si>
    <t>Résultat net (part du Groupe)</t>
  </si>
  <si>
    <t>RESULTAT NET, PART DU GROUPE</t>
  </si>
  <si>
    <t>RESULTAT NET CONSOLIDE GLOBAL</t>
  </si>
  <si>
    <t>Gearing (Dettes financières+trésorerie passif)/FP en %</t>
  </si>
  <si>
    <t>(Dettes financières+trésorerie passif)/EBE en %</t>
  </si>
  <si>
    <t>CAF = Capacité d'auto-financement</t>
  </si>
  <si>
    <t>RN = Résultat net</t>
  </si>
  <si>
    <t>TA = Total actif</t>
  </si>
  <si>
    <t>FP = Fonds propres</t>
  </si>
  <si>
    <t>AC = Actif circulant</t>
  </si>
  <si>
    <t>PC = Passif circulant</t>
  </si>
  <si>
    <t>-</t>
  </si>
  <si>
    <t>2018 IFRS</t>
  </si>
  <si>
    <t>2019 IFRS</t>
  </si>
  <si>
    <t>Part dans le résultat net des entreprises associées</t>
  </si>
  <si>
    <t>TAUX DE CROISSANCE (COMPTE DE RESULTAT)</t>
  </si>
  <si>
    <t>2020 IFRS</t>
  </si>
  <si>
    <t>BOLLORE TRANSPORT &amp; LOGISTICS COTE D'IVOIRE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</si>
</sst>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%"/>
    <numFmt numFmtId="166" formatCode="#,##0.0"/>
    <numFmt numFmtId="167" formatCode="_-* #,##0.00\ _F_-;\-* #,##0.00\ _F_-;_-* &quot;-&quot;??\ _F_-;_-@_-"/>
    <numFmt numFmtId="168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color indexed="23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i/>
      <sz val="11"/>
      <color rgb="FFFF0000"/>
      <name val="Garamond"/>
      <family val="1"/>
    </font>
    <font>
      <i/>
      <sz val="12"/>
      <color rgb="FFFF0000"/>
      <name val="Garamond"/>
      <family val="1"/>
    </font>
    <font>
      <sz val="8"/>
      <name val="Arial"/>
      <family val="2"/>
    </font>
    <font>
      <sz val="12"/>
      <color theme="0"/>
      <name val="Garamond"/>
      <family val="1"/>
    </font>
    <font>
      <i/>
      <sz val="12"/>
      <color theme="0"/>
      <name val="Garamond"/>
      <family val="1"/>
    </font>
    <font>
      <sz val="8"/>
      <name val="Calibri"/>
      <family val="2"/>
      <scheme val="minor"/>
    </font>
    <font>
      <b/>
      <sz val="14"/>
      <color rgb="FFC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167" fontId="2" fillId="0" borderId="0" applyFont="0" applyFill="0" applyBorder="0" applyAlignment="0" applyProtection="0"/>
    <xf numFmtId="0" fontId="14" fillId="0" borderId="0"/>
  </cellStyleXfs>
  <cellXfs count="145">
    <xf numFmtId="0" fontId="0" fillId="0" borderId="0" xfId="0"/>
    <xf numFmtId="0" fontId="7" fillId="0" borderId="0" xfId="0" applyFont="1"/>
    <xf numFmtId="0" fontId="8" fillId="2" borderId="3" xfId="0" applyFont="1" applyFill="1" applyBorder="1"/>
    <xf numFmtId="14" fontId="9" fillId="2" borderId="1" xfId="0" applyNumberFormat="1" applyFont="1" applyFill="1" applyBorder="1"/>
    <xf numFmtId="0" fontId="10" fillId="0" borderId="0" xfId="0" applyFont="1"/>
    <xf numFmtId="0" fontId="7" fillId="0" borderId="5" xfId="0" applyFont="1" applyBorder="1"/>
    <xf numFmtId="3" fontId="7" fillId="0" borderId="0" xfId="0" applyNumberFormat="1" applyFont="1" applyBorder="1"/>
    <xf numFmtId="3" fontId="7" fillId="0" borderId="6" xfId="0" applyNumberFormat="1" applyFont="1" applyBorder="1"/>
    <xf numFmtId="0" fontId="7" fillId="0" borderId="5" xfId="0" applyFont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3" fontId="10" fillId="3" borderId="7" xfId="0" applyNumberFormat="1" applyFont="1" applyFill="1" applyBorder="1"/>
    <xf numFmtId="3" fontId="10" fillId="3" borderId="0" xfId="0" applyNumberFormat="1" applyFont="1" applyFill="1" applyBorder="1"/>
    <xf numFmtId="3" fontId="10" fillId="3" borderId="6" xfId="0" applyNumberFormat="1" applyFont="1" applyFill="1" applyBorder="1"/>
    <xf numFmtId="0" fontId="10" fillId="3" borderId="3" xfId="0" applyFont="1" applyFill="1" applyBorder="1"/>
    <xf numFmtId="3" fontId="10" fillId="3" borderId="1" xfId="0" applyNumberFormat="1" applyFont="1" applyFill="1" applyBorder="1"/>
    <xf numFmtId="0" fontId="11" fillId="3" borderId="5" xfId="0" applyFont="1" applyFill="1" applyBorder="1"/>
    <xf numFmtId="165" fontId="11" fillId="3" borderId="0" xfId="4" applyNumberFormat="1" applyFont="1" applyFill="1" applyBorder="1"/>
    <xf numFmtId="165" fontId="11" fillId="3" borderId="6" xfId="4" applyNumberFormat="1" applyFont="1" applyFill="1" applyBorder="1"/>
    <xf numFmtId="0" fontId="11" fillId="0" borderId="0" xfId="0" applyFont="1"/>
    <xf numFmtId="3" fontId="10" fillId="3" borderId="4" xfId="0" applyNumberFormat="1" applyFont="1" applyFill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7" fillId="0" borderId="0" xfId="0" applyNumberFormat="1" applyFont="1"/>
    <xf numFmtId="0" fontId="7" fillId="0" borderId="0" xfId="0" applyFont="1" applyBorder="1"/>
    <xf numFmtId="0" fontId="10" fillId="3" borderId="9" xfId="0" applyFont="1" applyFill="1" applyBorder="1"/>
    <xf numFmtId="3" fontId="10" fillId="3" borderId="10" xfId="0" applyNumberFormat="1" applyFont="1" applyFill="1" applyBorder="1"/>
    <xf numFmtId="3" fontId="10" fillId="3" borderId="11" xfId="0" applyNumberFormat="1" applyFont="1" applyFill="1" applyBorder="1"/>
    <xf numFmtId="3" fontId="7" fillId="0" borderId="12" xfId="0" applyNumberFormat="1" applyFont="1" applyBorder="1"/>
    <xf numFmtId="0" fontId="4" fillId="3" borderId="14" xfId="0" applyFont="1" applyFill="1" applyBorder="1"/>
    <xf numFmtId="3" fontId="4" fillId="3" borderId="2" xfId="0" applyNumberFormat="1" applyFont="1" applyFill="1" applyBorder="1"/>
    <xf numFmtId="166" fontId="7" fillId="0" borderId="0" xfId="0" applyNumberFormat="1" applyFont="1" applyBorder="1"/>
    <xf numFmtId="0" fontId="7" fillId="0" borderId="5" xfId="0" applyFont="1" applyFill="1" applyBorder="1"/>
    <xf numFmtId="0" fontId="10" fillId="3" borderId="9" xfId="0" applyFont="1" applyFill="1" applyBorder="1" applyAlignment="1">
      <alignment horizontal="left"/>
    </xf>
    <xf numFmtId="166" fontId="10" fillId="3" borderId="10" xfId="0" applyNumberFormat="1" applyFont="1" applyFill="1" applyBorder="1"/>
    <xf numFmtId="0" fontId="10" fillId="3" borderId="5" xfId="0" applyFont="1" applyFill="1" applyBorder="1"/>
    <xf numFmtId="0" fontId="7" fillId="0" borderId="14" xfId="0" applyFont="1" applyBorder="1"/>
    <xf numFmtId="166" fontId="7" fillId="0" borderId="2" xfId="0" applyNumberFormat="1" applyFont="1" applyBorder="1"/>
    <xf numFmtId="0" fontId="7" fillId="3" borderId="3" xfId="0" applyFont="1" applyFill="1" applyBorder="1"/>
    <xf numFmtId="0" fontId="7" fillId="3" borderId="1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0" xfId="0" applyFont="1" applyFill="1" applyBorder="1"/>
    <xf numFmtId="0" fontId="7" fillId="3" borderId="6" xfId="0" applyFont="1" applyFill="1" applyBorder="1"/>
    <xf numFmtId="0" fontId="7" fillId="3" borderId="14" xfId="0" applyFont="1" applyFill="1" applyBorder="1"/>
    <xf numFmtId="0" fontId="7" fillId="3" borderId="2" xfId="0" applyFont="1" applyFill="1" applyBorder="1"/>
    <xf numFmtId="0" fontId="7" fillId="3" borderId="8" xfId="0" applyFont="1" applyFill="1" applyBorder="1"/>
    <xf numFmtId="0" fontId="11" fillId="3" borderId="14" xfId="0" applyFont="1" applyFill="1" applyBorder="1"/>
    <xf numFmtId="165" fontId="11" fillId="3" borderId="2" xfId="4" applyNumberFormat="1" applyFont="1" applyFill="1" applyBorder="1"/>
    <xf numFmtId="165" fontId="11" fillId="3" borderId="8" xfId="4" applyNumberFormat="1" applyFont="1" applyFill="1" applyBorder="1"/>
    <xf numFmtId="0" fontId="10" fillId="0" borderId="5" xfId="0" applyFont="1" applyBorder="1" applyAlignment="1">
      <alignment horizontal="left"/>
    </xf>
    <xf numFmtId="3" fontId="10" fillId="0" borderId="0" xfId="0" applyNumberFormat="1" applyFont="1" applyBorder="1"/>
    <xf numFmtId="0" fontId="12" fillId="0" borderId="5" xfId="0" applyFont="1" applyBorder="1"/>
    <xf numFmtId="3" fontId="10" fillId="3" borderId="2" xfId="0" applyNumberFormat="1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10" fillId="0" borderId="15" xfId="0" applyNumberFormat="1" applyFont="1" applyBorder="1"/>
    <xf numFmtId="3" fontId="10" fillId="0" borderId="16" xfId="0" applyNumberFormat="1" applyFont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0" borderId="15" xfId="0" applyNumberFormat="1" applyFont="1" applyFill="1" applyBorder="1"/>
    <xf numFmtId="3" fontId="7" fillId="0" borderId="17" xfId="0" applyNumberFormat="1" applyFont="1" applyFill="1" applyBorder="1"/>
    <xf numFmtId="3" fontId="7" fillId="0" borderId="18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3" fillId="0" borderId="6" xfId="0" applyNumberFormat="1" applyFont="1" applyFill="1" applyBorder="1"/>
    <xf numFmtId="3" fontId="10" fillId="3" borderId="8" xfId="0" applyNumberFormat="1" applyFont="1" applyFill="1" applyBorder="1"/>
    <xf numFmtId="0" fontId="10" fillId="0" borderId="5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7" fillId="0" borderId="21" xfId="0" applyFont="1" applyBorder="1" applyAlignment="1">
      <alignment horizontal="left"/>
    </xf>
    <xf numFmtId="0" fontId="7" fillId="0" borderId="14" xfId="0" applyFont="1" applyFill="1" applyBorder="1"/>
    <xf numFmtId="0" fontId="10" fillId="5" borderId="3" xfId="0" applyFont="1" applyFill="1" applyBorder="1"/>
    <xf numFmtId="3" fontId="10" fillId="5" borderId="22" xfId="0" applyNumberFormat="1" applyFont="1" applyFill="1" applyBorder="1"/>
    <xf numFmtId="3" fontId="10" fillId="5" borderId="12" xfId="0" applyNumberFormat="1" applyFont="1" applyFill="1" applyBorder="1"/>
    <xf numFmtId="3" fontId="10" fillId="5" borderId="1" xfId="0" applyNumberFormat="1" applyFont="1" applyFill="1" applyBorder="1"/>
    <xf numFmtId="3" fontId="10" fillId="5" borderId="4" xfId="0" applyNumberFormat="1" applyFont="1" applyFill="1" applyBorder="1"/>
    <xf numFmtId="165" fontId="11" fillId="5" borderId="0" xfId="4" applyNumberFormat="1" applyFont="1" applyFill="1" applyBorder="1"/>
    <xf numFmtId="165" fontId="11" fillId="5" borderId="6" xfId="4" applyNumberFormat="1" applyFont="1" applyFill="1" applyBorder="1"/>
    <xf numFmtId="0" fontId="7" fillId="0" borderId="3" xfId="0" applyFont="1" applyBorder="1"/>
    <xf numFmtId="3" fontId="7" fillId="0" borderId="1" xfId="0" applyNumberFormat="1" applyFont="1" applyBorder="1"/>
    <xf numFmtId="0" fontId="11" fillId="5" borderId="5" xfId="0" applyFont="1" applyFill="1" applyBorder="1"/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16" fillId="0" borderId="5" xfId="0" applyFont="1" applyBorder="1"/>
    <xf numFmtId="3" fontId="15" fillId="0" borderId="0" xfId="0" applyNumberFormat="1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12" xfId="0" applyNumberFormat="1" applyFont="1" applyFill="1" applyBorder="1"/>
    <xf numFmtId="3" fontId="10" fillId="0" borderId="13" xfId="0" applyNumberFormat="1" applyFont="1" applyFill="1" applyBorder="1"/>
    <xf numFmtId="3" fontId="7" fillId="0" borderId="16" xfId="0" applyNumberFormat="1" applyFont="1" applyFill="1" applyBorder="1"/>
    <xf numFmtId="3" fontId="10" fillId="0" borderId="23" xfId="0" applyNumberFormat="1" applyFont="1" applyFill="1" applyBorder="1"/>
    <xf numFmtId="3" fontId="10" fillId="0" borderId="24" xfId="0" applyNumberFormat="1" applyFont="1" applyFill="1" applyBorder="1"/>
    <xf numFmtId="166" fontId="7" fillId="0" borderId="12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 applyAlignment="1">
      <alignment horizontal="right"/>
    </xf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23" xfId="0" applyNumberFormat="1" applyFont="1" applyBorder="1"/>
    <xf numFmtId="166" fontId="7" fillId="0" borderId="24" xfId="0" applyNumberFormat="1" applyFont="1" applyBorder="1"/>
    <xf numFmtId="166" fontId="7" fillId="0" borderId="17" xfId="0" applyNumberFormat="1" applyFont="1" applyBorder="1"/>
    <xf numFmtId="166" fontId="7" fillId="0" borderId="12" xfId="0" applyNumberFormat="1" applyFont="1" applyBorder="1" applyAlignment="1">
      <alignment horizontal="right"/>
    </xf>
    <xf numFmtId="166" fontId="7" fillId="0" borderId="22" xfId="0" applyNumberFormat="1" applyFont="1" applyBorder="1"/>
    <xf numFmtId="166" fontId="7" fillId="4" borderId="12" xfId="0" applyNumberFormat="1" applyFont="1" applyFill="1" applyBorder="1"/>
    <xf numFmtId="166" fontId="7" fillId="4" borderId="13" xfId="0" applyNumberFormat="1" applyFont="1" applyFill="1" applyBorder="1"/>
    <xf numFmtId="168" fontId="7" fillId="0" borderId="15" xfId="4" applyNumberFormat="1" applyFont="1" applyFill="1" applyBorder="1"/>
    <xf numFmtId="168" fontId="7" fillId="0" borderId="16" xfId="4" applyNumberFormat="1" applyFont="1" applyFill="1" applyBorder="1"/>
    <xf numFmtId="166" fontId="7" fillId="4" borderId="15" xfId="0" applyNumberFormat="1" applyFont="1" applyFill="1" applyBorder="1"/>
    <xf numFmtId="166" fontId="7" fillId="4" borderId="16" xfId="0" applyNumberFormat="1" applyFont="1" applyFill="1" applyBorder="1"/>
    <xf numFmtId="166" fontId="7" fillId="4" borderId="17" xfId="0" applyNumberFormat="1" applyFont="1" applyFill="1" applyBorder="1"/>
    <xf numFmtId="166" fontId="7" fillId="4" borderId="18" xfId="0" applyNumberFormat="1" applyFont="1" applyFill="1" applyBorder="1"/>
    <xf numFmtId="0" fontId="7" fillId="0" borderId="25" xfId="0" applyFont="1" applyBorder="1" applyAlignment="1">
      <alignment horizontal="left" indent="1"/>
    </xf>
    <xf numFmtId="3" fontId="7" fillId="6" borderId="13" xfId="0" applyNumberFormat="1" applyFont="1" applyFill="1" applyBorder="1"/>
    <xf numFmtId="0" fontId="7" fillId="0" borderId="26" xfId="0" applyFont="1" applyBorder="1" applyAlignment="1">
      <alignment horizontal="left" indent="1"/>
    </xf>
    <xf numFmtId="3" fontId="7" fillId="0" borderId="23" xfId="0" applyNumberFormat="1" applyFont="1" applyBorder="1"/>
    <xf numFmtId="3" fontId="7" fillId="0" borderId="23" xfId="0" applyNumberFormat="1" applyFont="1" applyFill="1" applyBorder="1"/>
    <xf numFmtId="3" fontId="7" fillId="6" borderId="23" xfId="0" applyNumberFormat="1" applyFont="1" applyFill="1" applyBorder="1"/>
    <xf numFmtId="3" fontId="7" fillId="0" borderId="24" xfId="0" applyNumberFormat="1" applyFont="1" applyFill="1" applyBorder="1"/>
    <xf numFmtId="1" fontId="9" fillId="2" borderId="1" xfId="0" applyNumberFormat="1" applyFont="1" applyFill="1" applyBorder="1"/>
    <xf numFmtId="1" fontId="9" fillId="2" borderId="1" xfId="0" applyNumberFormat="1" applyFont="1" applyFill="1" applyBorder="1" applyAlignment="1">
      <alignment horizontal="right"/>
    </xf>
    <xf numFmtId="3" fontId="7" fillId="6" borderId="12" xfId="0" applyNumberFormat="1" applyFont="1" applyFill="1" applyBorder="1"/>
    <xf numFmtId="0" fontId="10" fillId="3" borderId="0" xfId="0" applyFont="1" applyFill="1" applyBorder="1" applyAlignment="1">
      <alignment horizontal="left"/>
    </xf>
    <xf numFmtId="9" fontId="7" fillId="0" borderId="12" xfId="0" applyNumberFormat="1" applyFont="1" applyBorder="1" applyAlignment="1">
      <alignment horizontal="center"/>
    </xf>
    <xf numFmtId="9" fontId="10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9" fontId="10" fillId="3" borderId="10" xfId="0" applyNumberFormat="1" applyFont="1" applyFill="1" applyBorder="1" applyAlignment="1">
      <alignment horizontal="center"/>
    </xf>
    <xf numFmtId="0" fontId="7" fillId="0" borderId="6" xfId="0" applyFont="1" applyBorder="1"/>
    <xf numFmtId="9" fontId="7" fillId="0" borderId="13" xfId="0" applyNumberFormat="1" applyFont="1" applyBorder="1" applyAlignment="1">
      <alignment horizontal="center"/>
    </xf>
    <xf numFmtId="9" fontId="10" fillId="3" borderId="6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9" fontId="10" fillId="3" borderId="11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166" fontId="7" fillId="0" borderId="0" xfId="0" applyNumberFormat="1" applyFont="1" applyFill="1" applyBorder="1"/>
    <xf numFmtId="166" fontId="7" fillId="0" borderId="6" xfId="0" applyNumberFormat="1" applyFont="1" applyFill="1" applyBorder="1"/>
    <xf numFmtId="166" fontId="7" fillId="0" borderId="13" xfId="0" applyNumberFormat="1" applyFont="1" applyBorder="1" applyAlignment="1">
      <alignment horizontal="right"/>
    </xf>
    <xf numFmtId="166" fontId="7" fillId="0" borderId="18" xfId="0" applyNumberFormat="1" applyFont="1" applyBorder="1"/>
    <xf numFmtId="166" fontId="10" fillId="3" borderId="11" xfId="0" applyNumberFormat="1" applyFont="1" applyFill="1" applyBorder="1"/>
    <xf numFmtId="166" fontId="7" fillId="0" borderId="27" xfId="0" applyNumberFormat="1" applyFont="1" applyBorder="1"/>
    <xf numFmtId="166" fontId="7" fillId="0" borderId="16" xfId="0" applyNumberFormat="1" applyFont="1" applyBorder="1" applyAlignment="1">
      <alignment horizontal="right"/>
    </xf>
    <xf numFmtId="3" fontId="10" fillId="0" borderId="0" xfId="0" applyNumberFormat="1" applyFont="1"/>
    <xf numFmtId="0" fontId="18" fillId="0" borderId="0" xfId="0" applyFont="1"/>
  </cellXfs>
  <cellStyles count="8">
    <cellStyle name="Milliers 2" xfId="6" xr:uid="{9D3027ED-AE82-BA4C-8B95-983CDEAB80EC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7" xr:uid="{5F1DA66C-9203-AA49-BB96-E5A0EB48648B}"/>
    <cellStyle name="Pourcentage" xfId="4" builtinId="5"/>
    <cellStyle name="Pourcentage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zahaji/Desktop/Hamza%2020.08.2019/WARA/2019/CBI%20CI/production%20analytique/post%20revue%20boss/B12-CBI%20CI%20Spreads%20au%2031-12-2018%20-%20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195"/>
  <sheetViews>
    <sheetView showGridLines="0" tabSelected="1" topLeftCell="B1" zoomScaleNormal="100" workbookViewId="0">
      <pane xSplit="3" topLeftCell="E1" activePane="topRight" state="frozen"/>
      <selection activeCell="B72" sqref="B72"/>
      <selection pane="topRight" activeCell="B127" sqref="A127:XFD129"/>
    </sheetView>
  </sheetViews>
  <sheetFormatPr baseColWidth="10" defaultColWidth="11.42578125" defaultRowHeight="15.75" x14ac:dyDescent="0.25"/>
  <cols>
    <col min="1" max="1" width="3.7109375" style="1" customWidth="1"/>
    <col min="2" max="2" width="64.7109375" style="1" customWidth="1"/>
    <col min="3" max="3" width="1.7109375" style="1" hidden="1" customWidth="1"/>
    <col min="4" max="4" width="12.7109375" style="1" hidden="1" customWidth="1"/>
    <col min="5" max="6" width="12.140625" style="1" customWidth="1"/>
    <col min="7" max="8" width="12.7109375" style="1" customWidth="1"/>
    <col min="9" max="16384" width="11.42578125" style="1"/>
  </cols>
  <sheetData>
    <row r="1" spans="2:11" ht="18.75" x14ac:dyDescent="0.3">
      <c r="B1" s="144" t="s">
        <v>106</v>
      </c>
    </row>
    <row r="3" spans="2:11" s="4" customFormat="1" x14ac:dyDescent="0.25">
      <c r="B3" s="2" t="s">
        <v>84</v>
      </c>
      <c r="C3" s="3">
        <v>41639</v>
      </c>
      <c r="D3" s="120">
        <v>2014</v>
      </c>
      <c r="E3" s="120">
        <v>2015</v>
      </c>
      <c r="F3" s="120">
        <v>2016</v>
      </c>
      <c r="G3" s="120">
        <v>2017</v>
      </c>
      <c r="H3" s="120">
        <v>2018</v>
      </c>
      <c r="I3" s="121" t="s">
        <v>101</v>
      </c>
      <c r="J3" s="121" t="s">
        <v>102</v>
      </c>
      <c r="K3" s="134" t="s">
        <v>105</v>
      </c>
    </row>
    <row r="4" spans="2:11" x14ac:dyDescent="0.25">
      <c r="B4" s="5"/>
      <c r="C4" s="6"/>
      <c r="D4" s="6"/>
      <c r="E4" s="6"/>
      <c r="F4" s="6"/>
      <c r="G4" s="6"/>
      <c r="H4" s="6"/>
      <c r="I4" s="6"/>
      <c r="J4" s="23"/>
      <c r="K4" s="129"/>
    </row>
    <row r="5" spans="2:11" x14ac:dyDescent="0.25">
      <c r="B5" s="8" t="s">
        <v>33</v>
      </c>
      <c r="C5" s="27" t="e">
        <f>+#REF!/1000000</f>
        <v>#REF!</v>
      </c>
      <c r="D5" s="53" t="e">
        <f>+#REF!/1000000</f>
        <v>#REF!</v>
      </c>
      <c r="E5" s="53">
        <v>88696.138070999994</v>
      </c>
      <c r="F5" s="53">
        <v>91066.978742000007</v>
      </c>
      <c r="G5" s="53">
        <v>97109.374773999996</v>
      </c>
      <c r="H5" s="53">
        <v>95512.987978999998</v>
      </c>
      <c r="I5" s="53">
        <v>90075.782999999996</v>
      </c>
      <c r="J5" s="53">
        <v>88958</v>
      </c>
      <c r="K5" s="54">
        <v>84974</v>
      </c>
    </row>
    <row r="6" spans="2:11" x14ac:dyDescent="0.25">
      <c r="B6" s="8" t="s">
        <v>71</v>
      </c>
      <c r="C6" s="53" t="e">
        <f>+#REF!/1000000</f>
        <v>#REF!</v>
      </c>
      <c r="D6" s="53" t="e">
        <f>+#REF!/1000000</f>
        <v>#REF!</v>
      </c>
      <c r="E6" s="53">
        <v>-0.68523199999999995</v>
      </c>
      <c r="F6" s="53">
        <v>-5.310962</v>
      </c>
      <c r="G6" s="53">
        <v>0</v>
      </c>
      <c r="H6" s="53">
        <v>0</v>
      </c>
      <c r="I6" s="53">
        <v>0</v>
      </c>
      <c r="J6" s="53">
        <v>0</v>
      </c>
      <c r="K6" s="54">
        <v>0</v>
      </c>
    </row>
    <row r="7" spans="2:11" x14ac:dyDescent="0.25">
      <c r="B7" s="8" t="s">
        <v>20</v>
      </c>
      <c r="C7" s="53" t="e">
        <f>+#REF!/1000000</f>
        <v>#REF!</v>
      </c>
      <c r="D7" s="53" t="e">
        <f>+#REF!/1000000</f>
        <v>#REF!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4">
        <v>0</v>
      </c>
    </row>
    <row r="8" spans="2:11" x14ac:dyDescent="0.25">
      <c r="B8" s="72" t="s">
        <v>21</v>
      </c>
      <c r="C8" s="59" t="e">
        <f>+#REF!/1000000</f>
        <v>#REF!</v>
      </c>
      <c r="D8" s="59" t="e">
        <f>+#REF!/1000000</f>
        <v>#REF!</v>
      </c>
      <c r="E8" s="59">
        <v>509.22610300000002</v>
      </c>
      <c r="F8" s="59">
        <v>466.17420700000002</v>
      </c>
      <c r="G8" s="59">
        <v>1192.0015960000001</v>
      </c>
      <c r="H8" s="59">
        <v>2446.8803469999998</v>
      </c>
      <c r="I8" s="59">
        <v>61</v>
      </c>
      <c r="J8" s="59">
        <v>108</v>
      </c>
      <c r="K8" s="60">
        <v>131</v>
      </c>
    </row>
    <row r="9" spans="2:11" s="4" customFormat="1" x14ac:dyDescent="0.25">
      <c r="B9" s="9" t="s">
        <v>29</v>
      </c>
      <c r="C9" s="10" t="e">
        <f t="shared" ref="C9:D9" si="0">SUM(C5:C8)</f>
        <v>#REF!</v>
      </c>
      <c r="D9" s="11" t="e">
        <f t="shared" si="0"/>
        <v>#REF!</v>
      </c>
      <c r="E9" s="11">
        <v>89204.678941999984</v>
      </c>
      <c r="F9" s="11">
        <v>91527.841987000007</v>
      </c>
      <c r="G9" s="11">
        <v>98301.376369999998</v>
      </c>
      <c r="H9" s="11">
        <v>97959.868325999996</v>
      </c>
      <c r="I9" s="11">
        <v>90136.782999999996</v>
      </c>
      <c r="J9" s="11">
        <v>89066</v>
      </c>
      <c r="K9" s="12">
        <v>85105</v>
      </c>
    </row>
    <row r="10" spans="2:11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</row>
    <row r="11" spans="2:11" x14ac:dyDescent="0.25">
      <c r="B11" s="5" t="s">
        <v>13</v>
      </c>
      <c r="C11" s="27" t="e">
        <f>(#REF!+#REF!+#REF!+#REF!+#REF!+#REF!)/-1000000</f>
        <v>#REF!</v>
      </c>
      <c r="D11" s="53" t="e">
        <f>(#REF!+#REF!+#REF!+#REF!+#REF!+#REF!)/-1000000</f>
        <v>#REF!</v>
      </c>
      <c r="E11" s="53">
        <v>-10032.673452000001</v>
      </c>
      <c r="F11" s="53">
        <v>-9190.2185059999993</v>
      </c>
      <c r="G11" s="53">
        <v>-9624.2637749999994</v>
      </c>
      <c r="H11" s="53">
        <v>-9345.0178230000001</v>
      </c>
      <c r="I11" s="53">
        <v>0</v>
      </c>
      <c r="J11" s="53">
        <v>0</v>
      </c>
      <c r="K11" s="54">
        <v>0</v>
      </c>
    </row>
    <row r="12" spans="2:11" x14ac:dyDescent="0.25">
      <c r="B12" s="5" t="s">
        <v>14</v>
      </c>
      <c r="C12" s="53" t="e">
        <f>+#REF!/-1000000</f>
        <v>#REF!</v>
      </c>
      <c r="D12" s="53" t="e">
        <f>+#REF!/-1000000</f>
        <v>#REF!</v>
      </c>
      <c r="E12" s="53">
        <v>-786.68674299999998</v>
      </c>
      <c r="F12" s="53">
        <v>-713.05018399999994</v>
      </c>
      <c r="G12" s="53">
        <v>0</v>
      </c>
      <c r="H12" s="53">
        <v>0</v>
      </c>
      <c r="I12" s="53">
        <v>0</v>
      </c>
      <c r="J12" s="53">
        <v>0</v>
      </c>
      <c r="K12" s="54">
        <v>0</v>
      </c>
    </row>
    <row r="13" spans="2:11" x14ac:dyDescent="0.25">
      <c r="B13" s="5" t="s">
        <v>15</v>
      </c>
      <c r="C13" s="53" t="e">
        <f>+#REF!/-1000000</f>
        <v>#REF!</v>
      </c>
      <c r="D13" s="53" t="e">
        <f>+#REF!/-1000000</f>
        <v>#REF!</v>
      </c>
      <c r="E13" s="53">
        <v>-32272.055510999999</v>
      </c>
      <c r="F13" s="53">
        <v>-32717.13999</v>
      </c>
      <c r="G13" s="53">
        <v>-35422.162075</v>
      </c>
      <c r="H13" s="53">
        <v>-36003.945154000001</v>
      </c>
      <c r="I13" s="53">
        <v>0</v>
      </c>
      <c r="J13" s="53">
        <v>0</v>
      </c>
      <c r="K13" s="54">
        <v>0</v>
      </c>
    </row>
    <row r="14" spans="2:11" x14ac:dyDescent="0.25">
      <c r="B14" s="5" t="s">
        <v>17</v>
      </c>
      <c r="C14" s="55" t="e">
        <f>+#REF!/-1000000</f>
        <v>#REF!</v>
      </c>
      <c r="D14" s="55" t="e">
        <f>+#REF!/-1000000</f>
        <v>#REF!</v>
      </c>
      <c r="E14" s="55">
        <v>-1688.8878540000001</v>
      </c>
      <c r="F14" s="55">
        <v>-4470.2929000000004</v>
      </c>
      <c r="G14" s="55">
        <v>-1952.510589</v>
      </c>
      <c r="H14" s="55">
        <v>-4999.4486379999998</v>
      </c>
      <c r="I14" s="55">
        <v>-60740</v>
      </c>
      <c r="J14" s="55">
        <v>-56443</v>
      </c>
      <c r="K14" s="56">
        <v>-53323</v>
      </c>
    </row>
    <row r="15" spans="2:11" s="4" customFormat="1" x14ac:dyDescent="0.25">
      <c r="B15" s="13" t="s">
        <v>28</v>
      </c>
      <c r="C15" s="14" t="e">
        <f t="shared" ref="C15:D15" si="1">SUM(C9:C14)</f>
        <v>#REF!</v>
      </c>
      <c r="D15" s="11" t="e">
        <f t="shared" si="1"/>
        <v>#REF!</v>
      </c>
      <c r="E15" s="11">
        <v>44424.375381999984</v>
      </c>
      <c r="F15" s="11">
        <v>44437.140406999999</v>
      </c>
      <c r="G15" s="11">
        <v>51302.439931000001</v>
      </c>
      <c r="H15" s="11">
        <v>47611.456710999992</v>
      </c>
      <c r="I15" s="11">
        <v>29396.782999999996</v>
      </c>
      <c r="J15" s="11">
        <v>32623</v>
      </c>
      <c r="K15" s="12">
        <v>31782</v>
      </c>
    </row>
    <row r="16" spans="2:11" s="18" customFormat="1" x14ac:dyDescent="0.25">
      <c r="B16" s="15" t="s">
        <v>27</v>
      </c>
      <c r="C16" s="16" t="e">
        <f t="shared" ref="C16:D16" si="2">C15/C5</f>
        <v>#REF!</v>
      </c>
      <c r="D16" s="16" t="e">
        <f t="shared" si="2"/>
        <v>#REF!</v>
      </c>
      <c r="E16" s="16">
        <v>0.50086031193871039</v>
      </c>
      <c r="F16" s="16">
        <v>0.48796107020189999</v>
      </c>
      <c r="G16" s="16">
        <v>0.52829544058330902</v>
      </c>
      <c r="H16" s="16">
        <v>0.49848149155869886</v>
      </c>
      <c r="I16" s="16">
        <v>0.3263561194910734</v>
      </c>
      <c r="J16" s="16">
        <v>0.36672362238359674</v>
      </c>
      <c r="K16" s="17">
        <v>0.37402028855885328</v>
      </c>
    </row>
    <row r="17" spans="2:19" x14ac:dyDescent="0.25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9" x14ac:dyDescent="0.25">
      <c r="B18" s="5" t="s">
        <v>16</v>
      </c>
      <c r="C18" s="27" t="e">
        <f>+#REF!/-1000000</f>
        <v>#REF!</v>
      </c>
      <c r="D18" s="53" t="e">
        <f>+#REF!/-1000000</f>
        <v>#REF!</v>
      </c>
      <c r="E18" s="53">
        <v>-4408.7805539999999</v>
      </c>
      <c r="F18" s="53">
        <v>-5305.3546059999999</v>
      </c>
      <c r="G18" s="53">
        <v>-4997.3021399999998</v>
      </c>
      <c r="H18" s="53">
        <v>-5791.6774299999997</v>
      </c>
      <c r="I18" s="53">
        <v>0</v>
      </c>
      <c r="J18" s="53">
        <v>0</v>
      </c>
      <c r="K18" s="54">
        <v>0</v>
      </c>
    </row>
    <row r="19" spans="2:19" x14ac:dyDescent="0.25">
      <c r="B19" s="5" t="s">
        <v>19</v>
      </c>
      <c r="C19" s="55" t="e">
        <f>+#REF!/-1000000</f>
        <v>#REF!</v>
      </c>
      <c r="D19" s="55" t="e">
        <f>+#REF!/-1000000</f>
        <v>#REF!</v>
      </c>
      <c r="E19" s="55">
        <v>-27882.021631</v>
      </c>
      <c r="F19" s="55">
        <v>-27060.604289999999</v>
      </c>
      <c r="G19" s="55">
        <v>-29226.703558000001</v>
      </c>
      <c r="H19" s="55">
        <v>-30813.854251000001</v>
      </c>
      <c r="I19" s="55">
        <v>-20679</v>
      </c>
      <c r="J19" s="55">
        <v>-20015</v>
      </c>
      <c r="K19" s="56">
        <v>-19097</v>
      </c>
    </row>
    <row r="20" spans="2:19" s="4" customFormat="1" x14ac:dyDescent="0.25">
      <c r="B20" s="13" t="s">
        <v>30</v>
      </c>
      <c r="C20" s="14" t="e">
        <f t="shared" ref="C20:D20" si="3">C15+C18+C19</f>
        <v>#REF!</v>
      </c>
      <c r="D20" s="11" t="e">
        <f t="shared" si="3"/>
        <v>#REF!</v>
      </c>
      <c r="E20" s="11">
        <v>12133.573196999987</v>
      </c>
      <c r="F20" s="11">
        <v>12071.181510999999</v>
      </c>
      <c r="G20" s="11">
        <v>17078.434233</v>
      </c>
      <c r="H20" s="11">
        <v>11005.925029999995</v>
      </c>
      <c r="I20" s="11">
        <v>8717.7829999999958</v>
      </c>
      <c r="J20" s="11">
        <v>12608</v>
      </c>
      <c r="K20" s="12">
        <v>12685</v>
      </c>
      <c r="L20" s="143"/>
      <c r="M20" s="143"/>
      <c r="N20" s="143"/>
      <c r="O20" s="143"/>
      <c r="P20" s="143"/>
      <c r="Q20" s="143"/>
      <c r="R20" s="143"/>
      <c r="S20" s="143"/>
    </row>
    <row r="21" spans="2:19" s="18" customFormat="1" x14ac:dyDescent="0.25">
      <c r="B21" s="15" t="s">
        <v>27</v>
      </c>
      <c r="C21" s="16" t="e">
        <f t="shared" ref="C21:D21" si="4">C20/C5</f>
        <v>#REF!</v>
      </c>
      <c r="D21" s="16" t="e">
        <f t="shared" si="4"/>
        <v>#REF!</v>
      </c>
      <c r="E21" s="16">
        <v>0.13679934054498782</v>
      </c>
      <c r="F21" s="16">
        <v>0.13255278343205626</v>
      </c>
      <c r="G21" s="16">
        <v>0.17586802790921241</v>
      </c>
      <c r="H21" s="16">
        <v>0.11522961706966824</v>
      </c>
      <c r="I21" s="16">
        <v>9.6782761244495613E-2</v>
      </c>
      <c r="J21" s="16">
        <v>0.14172980507655297</v>
      </c>
      <c r="K21" s="17">
        <v>0.14928095652787912</v>
      </c>
    </row>
    <row r="22" spans="2:19" x14ac:dyDescent="0.25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9" x14ac:dyDescent="0.25">
      <c r="B23" s="5" t="s">
        <v>18</v>
      </c>
      <c r="C23" s="27" t="e">
        <f>+#REF!/-1000000</f>
        <v>#REF!</v>
      </c>
      <c r="D23" s="53" t="e">
        <f>+#REF!/-1000000</f>
        <v>#REF!</v>
      </c>
      <c r="E23" s="53">
        <v>-8923.4955310000005</v>
      </c>
      <c r="F23" s="53">
        <v>-8530.3134809999992</v>
      </c>
      <c r="G23" s="53">
        <v>-8895.7155540000003</v>
      </c>
      <c r="H23" s="53">
        <v>-7877.1685680000001</v>
      </c>
      <c r="I23" s="53">
        <v>-4334</v>
      </c>
      <c r="J23" s="53">
        <v>-7169</v>
      </c>
      <c r="K23" s="54">
        <v>-8029</v>
      </c>
    </row>
    <row r="24" spans="2:19" x14ac:dyDescent="0.25">
      <c r="B24" s="5" t="s">
        <v>22</v>
      </c>
      <c r="C24" s="55" t="e">
        <f>+#REF!/1000000+#REF!/1000000</f>
        <v>#REF!</v>
      </c>
      <c r="D24" s="55" t="e">
        <f>+#REF!/1000000+#REF!/1000000</f>
        <v>#REF!</v>
      </c>
      <c r="E24" s="55">
        <v>1859.278223</v>
      </c>
      <c r="F24" s="55">
        <v>3725.2413219999999</v>
      </c>
      <c r="G24" s="55">
        <v>1627.910286</v>
      </c>
      <c r="H24" s="55">
        <v>1864.4855259999999</v>
      </c>
      <c r="I24" s="55">
        <v>0</v>
      </c>
      <c r="J24" s="55">
        <v>0</v>
      </c>
      <c r="K24" s="56">
        <v>0</v>
      </c>
    </row>
    <row r="25" spans="2:19" s="4" customFormat="1" x14ac:dyDescent="0.25">
      <c r="B25" s="13" t="s">
        <v>23</v>
      </c>
      <c r="C25" s="14" t="e">
        <f t="shared" ref="C25:D25" si="5">C20+C23+C24</f>
        <v>#REF!</v>
      </c>
      <c r="D25" s="14" t="e">
        <f t="shared" si="5"/>
        <v>#REF!</v>
      </c>
      <c r="E25" s="14">
        <v>5069.3558889999867</v>
      </c>
      <c r="F25" s="14">
        <v>7266.1093519999995</v>
      </c>
      <c r="G25" s="14">
        <v>9810.6289649999999</v>
      </c>
      <c r="H25" s="14">
        <v>4993.2419879999943</v>
      </c>
      <c r="I25" s="14">
        <v>4383.7829999999958</v>
      </c>
      <c r="J25" s="14">
        <v>5439</v>
      </c>
      <c r="K25" s="19">
        <v>4656</v>
      </c>
    </row>
    <row r="26" spans="2:19" s="18" customFormat="1" x14ac:dyDescent="0.25">
      <c r="B26" s="15" t="s">
        <v>27</v>
      </c>
      <c r="C26" s="16" t="e">
        <f t="shared" ref="C26:D26" si="6">C25/C5</f>
        <v>#REF!</v>
      </c>
      <c r="D26" s="16" t="e">
        <f t="shared" si="6"/>
        <v>#REF!</v>
      </c>
      <c r="E26" s="16">
        <v>5.7154189565074856E-2</v>
      </c>
      <c r="F26" s="16">
        <v>7.9788628681593421E-2</v>
      </c>
      <c r="G26" s="16">
        <v>0.1010265897379322</v>
      </c>
      <c r="H26" s="16">
        <v>5.2278146602405901E-2</v>
      </c>
      <c r="I26" s="16">
        <v>4.8667720157370115E-2</v>
      </c>
      <c r="J26" s="16">
        <v>6.1141212707120217E-2</v>
      </c>
      <c r="K26" s="17">
        <v>5.4793230870619249E-2</v>
      </c>
    </row>
    <row r="27" spans="2:19" x14ac:dyDescent="0.25">
      <c r="B27" s="5"/>
      <c r="C27" s="6"/>
      <c r="D27" s="6"/>
      <c r="E27" s="6"/>
      <c r="F27" s="6"/>
      <c r="G27" s="6"/>
      <c r="H27" s="6"/>
      <c r="I27" s="6"/>
      <c r="J27" s="6"/>
      <c r="K27" s="7"/>
    </row>
    <row r="28" spans="2:19" x14ac:dyDescent="0.25">
      <c r="B28" s="5" t="s">
        <v>31</v>
      </c>
      <c r="C28" s="27" t="e">
        <f>+(#REF!-#REF!)/1000000</f>
        <v>#REF!</v>
      </c>
      <c r="D28" s="53" t="e">
        <f>+(#REF!-#REF!)/1000000</f>
        <v>#REF!</v>
      </c>
      <c r="E28" s="53">
        <v>-895.35126000000002</v>
      </c>
      <c r="F28" s="53">
        <v>-520.17167400000005</v>
      </c>
      <c r="G28" s="53">
        <v>-279.61768799999999</v>
      </c>
      <c r="H28" s="53">
        <v>-411.58540399999998</v>
      </c>
      <c r="I28" s="53">
        <v>-604.5</v>
      </c>
      <c r="J28" s="53">
        <v>-1931</v>
      </c>
      <c r="K28" s="54">
        <v>-1587</v>
      </c>
    </row>
    <row r="29" spans="2:19" x14ac:dyDescent="0.25">
      <c r="B29" s="5" t="s">
        <v>34</v>
      </c>
      <c r="C29" s="53" t="e">
        <f>+#REF!/-1000000+#REF!/1000000</f>
        <v>#REF!</v>
      </c>
      <c r="D29" s="53" t="e">
        <f>+#REF!/-1000000+#REF!/1000000</f>
        <v>#REF!</v>
      </c>
      <c r="E29" s="53">
        <v>16.183790000000002</v>
      </c>
      <c r="F29" s="53">
        <v>-78.363354000000001</v>
      </c>
      <c r="G29" s="53">
        <v>144.51747599999999</v>
      </c>
      <c r="H29" s="53">
        <v>-43.532606000000001</v>
      </c>
      <c r="I29" s="53">
        <v>0</v>
      </c>
      <c r="J29" s="53">
        <v>0</v>
      </c>
      <c r="K29" s="54">
        <v>0</v>
      </c>
    </row>
    <row r="30" spans="2:19" x14ac:dyDescent="0.25">
      <c r="B30" s="5" t="s">
        <v>61</v>
      </c>
      <c r="C30" s="53" t="e">
        <f>+#REF!/1000000</f>
        <v>#REF!</v>
      </c>
      <c r="D30" s="53" t="e">
        <f>+#REF!/1000000</f>
        <v>#REF!</v>
      </c>
      <c r="E30" s="53">
        <v>401.42739799999998</v>
      </c>
      <c r="F30" s="53">
        <v>-202.28258700000001</v>
      </c>
      <c r="G30" s="53">
        <v>137.653324</v>
      </c>
      <c r="H30" s="53">
        <v>804.63439300000005</v>
      </c>
      <c r="I30" s="53">
        <v>0</v>
      </c>
      <c r="J30" s="53">
        <v>0</v>
      </c>
      <c r="K30" s="54">
        <v>0</v>
      </c>
    </row>
    <row r="31" spans="2:19" x14ac:dyDescent="0.25">
      <c r="B31" s="5" t="s">
        <v>32</v>
      </c>
      <c r="C31" s="55" t="e">
        <f>+#REF!/-1000000</f>
        <v>#REF!</v>
      </c>
      <c r="D31" s="55" t="e">
        <f>+#REF!/-1000000</f>
        <v>#REF!</v>
      </c>
      <c r="E31" s="55">
        <v>-2635.8701019999999</v>
      </c>
      <c r="F31" s="55">
        <v>-2973.203919</v>
      </c>
      <c r="G31" s="55">
        <v>-3631.0836829999998</v>
      </c>
      <c r="H31" s="55">
        <v>-2957.722894</v>
      </c>
      <c r="I31" s="55">
        <v>-2706</v>
      </c>
      <c r="J31" s="55">
        <v>-7177</v>
      </c>
      <c r="K31" s="56">
        <v>-4348</v>
      </c>
    </row>
    <row r="32" spans="2:19" s="4" customFormat="1" x14ac:dyDescent="0.25">
      <c r="B32" s="13" t="s">
        <v>65</v>
      </c>
      <c r="C32" s="14" t="e">
        <f t="shared" ref="C32:D32" si="7">C25+C28+C29+C31+C30</f>
        <v>#REF!</v>
      </c>
      <c r="D32" s="14" t="e">
        <f t="shared" si="7"/>
        <v>#REF!</v>
      </c>
      <c r="E32" s="14">
        <v>1955.7457149999866</v>
      </c>
      <c r="F32" s="14">
        <v>3492.0878179999991</v>
      </c>
      <c r="G32" s="14">
        <v>6182.0983939999987</v>
      </c>
      <c r="H32" s="14">
        <v>2385.035476999994</v>
      </c>
      <c r="I32" s="14">
        <v>1073.2829999999958</v>
      </c>
      <c r="J32" s="14">
        <v>-3669</v>
      </c>
      <c r="K32" s="19">
        <v>-1279</v>
      </c>
    </row>
    <row r="33" spans="2:11" s="4" customFormat="1" x14ac:dyDescent="0.25">
      <c r="B33" s="15" t="s">
        <v>27</v>
      </c>
      <c r="C33" s="11"/>
      <c r="D33" s="16" t="e">
        <f>D32/D5</f>
        <v>#REF!</v>
      </c>
      <c r="E33" s="16">
        <v>2.2049953442555077E-2</v>
      </c>
      <c r="F33" s="16">
        <v>3.8346367324794663E-2</v>
      </c>
      <c r="G33" s="16">
        <v>6.3661190367947776E-2</v>
      </c>
      <c r="H33" s="16">
        <v>2.4970797453477016E-2</v>
      </c>
      <c r="I33" s="16">
        <v>1.1915333558632467E-2</v>
      </c>
      <c r="J33" s="16">
        <v>-4.1244182647991186E-2</v>
      </c>
      <c r="K33" s="17">
        <v>-1.5051662861581189E-2</v>
      </c>
    </row>
    <row r="34" spans="2:11" s="4" customFormat="1" x14ac:dyDescent="0.25">
      <c r="B34" s="31"/>
      <c r="C34" s="20"/>
      <c r="D34" s="20"/>
      <c r="E34" s="20"/>
      <c r="F34" s="20"/>
      <c r="G34" s="20"/>
      <c r="H34" s="20"/>
      <c r="I34" s="20"/>
      <c r="J34" s="20"/>
      <c r="K34" s="21"/>
    </row>
    <row r="35" spans="2:11" s="4" customFormat="1" x14ac:dyDescent="0.25">
      <c r="B35" s="31" t="s">
        <v>85</v>
      </c>
      <c r="C35" s="20" t="e">
        <f>#REF!/1000000</f>
        <v>#REF!</v>
      </c>
      <c r="D35" s="61" t="e">
        <f>#REF!/1000000</f>
        <v>#REF!</v>
      </c>
      <c r="E35" s="61">
        <v>8757.6491740000001</v>
      </c>
      <c r="F35" s="61">
        <v>10694.675433</v>
      </c>
      <c r="G35" s="61">
        <v>12697.175909</v>
      </c>
      <c r="H35" s="61">
        <v>13154.190466</v>
      </c>
      <c r="I35" s="61">
        <v>14157</v>
      </c>
      <c r="J35" s="61">
        <v>14694</v>
      </c>
      <c r="K35" s="62">
        <v>15781</v>
      </c>
    </row>
    <row r="36" spans="2:11" s="4" customFormat="1" x14ac:dyDescent="0.25">
      <c r="B36" s="31" t="s">
        <v>103</v>
      </c>
      <c r="C36" s="20"/>
      <c r="D36" s="20"/>
      <c r="E36" s="20"/>
      <c r="F36" s="20"/>
      <c r="G36" s="20"/>
      <c r="H36" s="20"/>
      <c r="I36" s="61">
        <v>2</v>
      </c>
      <c r="J36" s="61">
        <v>0</v>
      </c>
      <c r="K36" s="62">
        <v>1</v>
      </c>
    </row>
    <row r="37" spans="2:11" s="4" customFormat="1" x14ac:dyDescent="0.25">
      <c r="B37" s="74" t="s">
        <v>91</v>
      </c>
      <c r="C37" s="75" t="e">
        <f t="shared" ref="C37:D37" si="8">+C32+C35</f>
        <v>#REF!</v>
      </c>
      <c r="D37" s="77" t="e">
        <f t="shared" si="8"/>
        <v>#REF!</v>
      </c>
      <c r="E37" s="77">
        <v>10713.394888999987</v>
      </c>
      <c r="F37" s="77">
        <v>14186.763251</v>
      </c>
      <c r="G37" s="77">
        <v>18879.274302999998</v>
      </c>
      <c r="H37" s="77">
        <v>15539.225942999994</v>
      </c>
      <c r="I37" s="77">
        <v>15232.282999999996</v>
      </c>
      <c r="J37" s="77">
        <v>11025</v>
      </c>
      <c r="K37" s="78">
        <v>14503</v>
      </c>
    </row>
    <row r="38" spans="2:11" s="4" customFormat="1" x14ac:dyDescent="0.25">
      <c r="B38" s="83" t="s">
        <v>27</v>
      </c>
      <c r="C38" s="76"/>
      <c r="D38" s="79" t="e">
        <f>D37/D5</f>
        <v>#REF!</v>
      </c>
      <c r="E38" s="79">
        <v>0.12078761400438953</v>
      </c>
      <c r="F38" s="79">
        <v>0.15578383566662762</v>
      </c>
      <c r="G38" s="79">
        <v>0.1944124791961355</v>
      </c>
      <c r="H38" s="79">
        <v>0.1626922816655734</v>
      </c>
      <c r="I38" s="79">
        <v>0.16910519667644738</v>
      </c>
      <c r="J38" s="79">
        <v>0.12393489062254097</v>
      </c>
      <c r="K38" s="80">
        <v>0.17067573610751524</v>
      </c>
    </row>
    <row r="39" spans="2:11" s="4" customFormat="1" x14ac:dyDescent="0.25">
      <c r="B39" s="31"/>
      <c r="C39" s="63"/>
      <c r="D39" s="61"/>
      <c r="E39" s="61"/>
      <c r="F39" s="61"/>
      <c r="G39" s="61"/>
      <c r="H39" s="61"/>
      <c r="I39" s="61"/>
      <c r="J39" s="61"/>
      <c r="K39" s="62"/>
    </row>
    <row r="40" spans="2:11" s="4" customFormat="1" x14ac:dyDescent="0.25">
      <c r="B40" s="73" t="s">
        <v>64</v>
      </c>
      <c r="C40" s="64" t="e">
        <f>+#REF!/1000000</f>
        <v>#REF!</v>
      </c>
      <c r="D40" s="64" t="e">
        <f>+#REF!/1000000</f>
        <v>#REF!</v>
      </c>
      <c r="E40" s="64">
        <v>40.396254999999996</v>
      </c>
      <c r="F40" s="64">
        <v>-25.109109</v>
      </c>
      <c r="G40" s="64">
        <v>-39.777461000000002</v>
      </c>
      <c r="H40" s="64">
        <v>-41.478479999999998</v>
      </c>
      <c r="I40" s="64">
        <v>-17</v>
      </c>
      <c r="J40" s="64">
        <v>-5</v>
      </c>
      <c r="K40" s="65">
        <v>3</v>
      </c>
    </row>
    <row r="41" spans="2:11" s="4" customFormat="1" x14ac:dyDescent="0.25">
      <c r="B41" s="34" t="s">
        <v>90</v>
      </c>
      <c r="C41" s="11" t="e">
        <f t="shared" ref="C41:D41" si="9">+C37-C40</f>
        <v>#REF!</v>
      </c>
      <c r="D41" s="11" t="e">
        <f t="shared" si="9"/>
        <v>#REF!</v>
      </c>
      <c r="E41" s="11">
        <v>10672.998633999987</v>
      </c>
      <c r="F41" s="11">
        <v>14211.872360000001</v>
      </c>
      <c r="G41" s="11">
        <v>18919.051764</v>
      </c>
      <c r="H41" s="11">
        <v>15580.704422999994</v>
      </c>
      <c r="I41" s="11">
        <v>15249.282999999996</v>
      </c>
      <c r="J41" s="11">
        <v>11030</v>
      </c>
      <c r="K41" s="12">
        <v>14500</v>
      </c>
    </row>
    <row r="42" spans="2:11" s="18" customFormat="1" x14ac:dyDescent="0.25">
      <c r="B42" s="46" t="s">
        <v>27</v>
      </c>
      <c r="C42" s="47" t="e">
        <f t="shared" ref="C42" si="10">C32/C5</f>
        <v>#REF!</v>
      </c>
      <c r="D42" s="47" t="e">
        <f>D41/D5</f>
        <v>#REF!</v>
      </c>
      <c r="E42" s="47">
        <v>0.12033216852639518</v>
      </c>
      <c r="F42" s="47">
        <v>0.15605955700214197</v>
      </c>
      <c r="G42" s="47">
        <v>0.19482209424198019</v>
      </c>
      <c r="H42" s="47">
        <v>0.16312655223837885</v>
      </c>
      <c r="I42" s="47">
        <v>0.16929392664840889</v>
      </c>
      <c r="J42" s="47">
        <v>0.12399109692214304</v>
      </c>
      <c r="K42" s="48">
        <v>0.17064043119071717</v>
      </c>
    </row>
    <row r="43" spans="2:11" x14ac:dyDescent="0.25">
      <c r="C43" s="22"/>
      <c r="D43" s="6"/>
      <c r="H43" s="23"/>
      <c r="J43" s="23"/>
    </row>
    <row r="44" spans="2:11" x14ac:dyDescent="0.25">
      <c r="C44" s="22"/>
      <c r="D44" s="6"/>
      <c r="H44" s="23"/>
      <c r="J44" s="23"/>
    </row>
    <row r="45" spans="2:11" s="4" customFormat="1" x14ac:dyDescent="0.25">
      <c r="B45" s="2" t="s">
        <v>39</v>
      </c>
      <c r="C45" s="3">
        <v>41639</v>
      </c>
      <c r="D45" s="120">
        <v>2014</v>
      </c>
      <c r="E45" s="120">
        <v>2015</v>
      </c>
      <c r="F45" s="120">
        <v>2016</v>
      </c>
      <c r="G45" s="120">
        <v>2017</v>
      </c>
      <c r="H45" s="120">
        <v>2018</v>
      </c>
      <c r="I45" s="121" t="s">
        <v>101</v>
      </c>
      <c r="J45" s="121" t="s">
        <v>102</v>
      </c>
      <c r="K45" s="134" t="s">
        <v>105</v>
      </c>
    </row>
    <row r="46" spans="2:11" x14ac:dyDescent="0.25">
      <c r="B46" s="5"/>
      <c r="C46" s="6"/>
      <c r="D46" s="6"/>
      <c r="E46" s="6"/>
      <c r="F46" s="6"/>
      <c r="G46" s="6"/>
      <c r="H46" s="6"/>
      <c r="I46" s="6"/>
      <c r="J46" s="23"/>
      <c r="K46" s="129"/>
    </row>
    <row r="47" spans="2:11" x14ac:dyDescent="0.25">
      <c r="B47" s="5" t="s">
        <v>0</v>
      </c>
      <c r="C47" s="27"/>
      <c r="D47" s="53" t="e">
        <f>#REF!/1000</f>
        <v>#REF!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4">
        <v>0</v>
      </c>
    </row>
    <row r="48" spans="2:11" x14ac:dyDescent="0.25">
      <c r="B48" s="8" t="s">
        <v>1</v>
      </c>
      <c r="C48" s="53" t="e">
        <f>#REF!/1000000</f>
        <v>#REF!</v>
      </c>
      <c r="D48" s="53" t="e">
        <f>#REF!/1000000</f>
        <v>#REF!</v>
      </c>
      <c r="E48" s="53">
        <v>358.67886700000003</v>
      </c>
      <c r="F48" s="53">
        <v>358.5</v>
      </c>
      <c r="G48" s="53">
        <v>360.29345599999999</v>
      </c>
      <c r="H48" s="53">
        <v>1211.4855540000001</v>
      </c>
      <c r="I48" s="53">
        <v>147</v>
      </c>
      <c r="J48" s="53">
        <v>160</v>
      </c>
      <c r="K48" s="54">
        <v>134</v>
      </c>
    </row>
    <row r="49" spans="2:11" x14ac:dyDescent="0.25">
      <c r="B49" s="8" t="s">
        <v>2</v>
      </c>
      <c r="C49" s="53" t="e">
        <f>+#REF!/1000000+#REF!/1000000</f>
        <v>#REF!</v>
      </c>
      <c r="D49" s="53" t="e">
        <f>+#REF!/1000000+#REF!/1000000</f>
        <v>#REF!</v>
      </c>
      <c r="E49" s="53">
        <v>28467.442421</v>
      </c>
      <c r="F49" s="53">
        <v>30411.334019999998</v>
      </c>
      <c r="G49" s="53">
        <v>30214.782249</v>
      </c>
      <c r="H49" s="53">
        <v>32437.452554000003</v>
      </c>
      <c r="I49" s="53">
        <v>47100</v>
      </c>
      <c r="J49" s="53">
        <v>61613</v>
      </c>
      <c r="K49" s="54">
        <v>58142</v>
      </c>
    </row>
    <row r="50" spans="2:11" x14ac:dyDescent="0.25">
      <c r="B50" s="5" t="s">
        <v>3</v>
      </c>
      <c r="C50" s="53" t="e">
        <f>+#REF!/1000000</f>
        <v>#REF!</v>
      </c>
      <c r="D50" s="53" t="e">
        <f>+#REF!/1000000</f>
        <v>#REF!</v>
      </c>
      <c r="E50" s="53">
        <v>29808.3660237</v>
      </c>
      <c r="F50" s="53">
        <v>33054.004241000002</v>
      </c>
      <c r="G50" s="53">
        <v>38729.805039999999</v>
      </c>
      <c r="H50" s="53">
        <v>39090.489074999998</v>
      </c>
      <c r="I50" s="53">
        <v>40471</v>
      </c>
      <c r="J50" s="53">
        <v>39280</v>
      </c>
      <c r="K50" s="54">
        <v>41648</v>
      </c>
    </row>
    <row r="51" spans="2:11" x14ac:dyDescent="0.25">
      <c r="B51" s="5" t="s">
        <v>4</v>
      </c>
      <c r="C51" s="53" t="e">
        <f>+#REF!/1000000</f>
        <v>#REF!</v>
      </c>
      <c r="D51" s="53" t="e">
        <f>+#REF!/1000000</f>
        <v>#REF!</v>
      </c>
      <c r="E51" s="53">
        <v>1967.814165</v>
      </c>
      <c r="F51" s="53">
        <v>2065.579886</v>
      </c>
      <c r="G51" s="53">
        <v>2625.0791760000002</v>
      </c>
      <c r="H51" s="53">
        <v>2404.909506</v>
      </c>
      <c r="I51" s="53">
        <v>1487</v>
      </c>
      <c r="J51" s="53">
        <v>1478</v>
      </c>
      <c r="K51" s="54">
        <v>1397</v>
      </c>
    </row>
    <row r="52" spans="2:11" x14ac:dyDescent="0.25">
      <c r="B52" s="5" t="s">
        <v>5</v>
      </c>
      <c r="C52" s="53" t="e">
        <f>+#REF!/1000000</f>
        <v>#REF!</v>
      </c>
      <c r="D52" s="53" t="e">
        <f>+#REF!/1000000</f>
        <v>#REF!</v>
      </c>
      <c r="E52" s="53">
        <v>70736.801428999999</v>
      </c>
      <c r="F52" s="53">
        <v>69988.532689999993</v>
      </c>
      <c r="G52" s="53">
        <v>81856.486474999998</v>
      </c>
      <c r="H52" s="53">
        <v>78705.083408000006</v>
      </c>
      <c r="I52" s="53">
        <v>50689</v>
      </c>
      <c r="J52" s="53">
        <v>47939</v>
      </c>
      <c r="K52" s="54">
        <v>45837</v>
      </c>
    </row>
    <row r="53" spans="2:11" x14ac:dyDescent="0.25">
      <c r="B53" s="5" t="s">
        <v>35</v>
      </c>
      <c r="C53" s="55" t="e">
        <f>+#REF!/1000000</f>
        <v>#REF!</v>
      </c>
      <c r="D53" s="55" t="e">
        <f>+#REF!/1000000</f>
        <v>#REF!</v>
      </c>
      <c r="E53" s="55">
        <v>7034.7227300000004</v>
      </c>
      <c r="F53" s="55">
        <v>9476.1975679999996</v>
      </c>
      <c r="G53" s="55">
        <v>11544.306355000001</v>
      </c>
      <c r="H53" s="55">
        <v>7298.8478889999997</v>
      </c>
      <c r="I53" s="55">
        <v>40185</v>
      </c>
      <c r="J53" s="55">
        <v>39149</v>
      </c>
      <c r="K53" s="56">
        <v>53530</v>
      </c>
    </row>
    <row r="54" spans="2:11" s="4" customFormat="1" x14ac:dyDescent="0.25">
      <c r="B54" s="24" t="s">
        <v>24</v>
      </c>
      <c r="C54" s="25" t="e">
        <f t="shared" ref="C54" si="11">SUM(C47:C53)</f>
        <v>#REF!</v>
      </c>
      <c r="D54" s="25" t="e">
        <f t="shared" ref="D54" si="12">SUM(D47:D53)</f>
        <v>#REF!</v>
      </c>
      <c r="E54" s="25">
        <v>138373.82563569999</v>
      </c>
      <c r="F54" s="25">
        <v>145354.14840499999</v>
      </c>
      <c r="G54" s="52">
        <v>165330.75275099999</v>
      </c>
      <c r="H54" s="25">
        <v>161148.26798599999</v>
      </c>
      <c r="I54" s="25">
        <v>180079</v>
      </c>
      <c r="J54" s="25">
        <v>189619</v>
      </c>
      <c r="K54" s="26">
        <v>200688</v>
      </c>
    </row>
    <row r="55" spans="2:11" x14ac:dyDescent="0.25">
      <c r="B55" s="8"/>
      <c r="C55" s="6"/>
      <c r="D55" s="6"/>
      <c r="E55" s="6"/>
      <c r="F55" s="6"/>
      <c r="G55" s="6"/>
      <c r="H55" s="6"/>
      <c r="I55" s="6"/>
      <c r="J55" s="6"/>
      <c r="K55" s="7"/>
    </row>
    <row r="56" spans="2:11" x14ac:dyDescent="0.25">
      <c r="B56" s="8" t="s">
        <v>6</v>
      </c>
      <c r="C56" s="27" t="e">
        <f>(#REF!)/1000000</f>
        <v>#REF!</v>
      </c>
      <c r="D56" s="53" t="e">
        <f>(#REF!)/1000000</f>
        <v>#REF!</v>
      </c>
      <c r="E56" s="53">
        <v>10887.06</v>
      </c>
      <c r="F56" s="53">
        <v>10887.06</v>
      </c>
      <c r="G56" s="53">
        <v>10887.06</v>
      </c>
      <c r="H56" s="53">
        <v>10887.06</v>
      </c>
      <c r="I56" s="53">
        <v>10887</v>
      </c>
      <c r="J56" s="53">
        <v>10887</v>
      </c>
      <c r="K56" s="54">
        <v>10887</v>
      </c>
    </row>
    <row r="57" spans="2:11" x14ac:dyDescent="0.25">
      <c r="B57" s="8" t="s">
        <v>67</v>
      </c>
      <c r="C57" s="53" t="e">
        <f>SUM(#REF!)/1000000</f>
        <v>#REF!</v>
      </c>
      <c r="D57" s="53" t="e">
        <f>SUM(#REF!)/1000000</f>
        <v>#REF!</v>
      </c>
      <c r="E57" s="53">
        <v>31895.041229999999</v>
      </c>
      <c r="F57" s="53">
        <v>31574.799005000001</v>
      </c>
      <c r="G57" s="53">
        <v>36853.154499999997</v>
      </c>
      <c r="H57" s="53">
        <v>43106.364876</v>
      </c>
      <c r="I57" s="53">
        <v>48344.717000000004</v>
      </c>
      <c r="J57" s="53">
        <v>49624</v>
      </c>
      <c r="K57" s="54">
        <v>55800</v>
      </c>
    </row>
    <row r="58" spans="2:11" x14ac:dyDescent="0.25">
      <c r="B58" s="8" t="s">
        <v>86</v>
      </c>
      <c r="C58" s="53" t="e">
        <f>#REF!/1000000</f>
        <v>#REF!</v>
      </c>
      <c r="D58" s="53" t="e">
        <f>#REF!/1000000</f>
        <v>#REF!</v>
      </c>
      <c r="E58" s="53">
        <v>2551.3648429999998</v>
      </c>
      <c r="F58" s="53">
        <v>1661.3296740000001</v>
      </c>
      <c r="G58" s="53">
        <v>0</v>
      </c>
      <c r="H58" s="53">
        <v>0</v>
      </c>
      <c r="I58" s="53">
        <v>0</v>
      </c>
      <c r="J58" s="53">
        <v>0</v>
      </c>
      <c r="K58" s="54">
        <v>0</v>
      </c>
    </row>
    <row r="59" spans="2:11" x14ac:dyDescent="0.25">
      <c r="B59" s="8" t="s">
        <v>72</v>
      </c>
      <c r="C59" s="53" t="e">
        <f t="shared" ref="C59" si="13">C41</f>
        <v>#REF!</v>
      </c>
      <c r="D59" s="53" t="e">
        <f>#REF!/1000000</f>
        <v>#REF!</v>
      </c>
      <c r="E59" s="53">
        <v>10672.998634</v>
      </c>
      <c r="F59" s="53">
        <v>14211.872359999999</v>
      </c>
      <c r="G59" s="53">
        <v>18919.051764</v>
      </c>
      <c r="H59" s="53">
        <v>15580.704422999999</v>
      </c>
      <c r="I59" s="53">
        <v>15249.282999999996</v>
      </c>
      <c r="J59" s="53">
        <v>11030</v>
      </c>
      <c r="K59" s="54">
        <v>14500</v>
      </c>
    </row>
    <row r="60" spans="2:11" s="4" customFormat="1" x14ac:dyDescent="0.25">
      <c r="B60" s="49" t="s">
        <v>66</v>
      </c>
      <c r="C60" s="57" t="e">
        <f t="shared" ref="C60:D60" si="14">SUM(C56:C58,C59)</f>
        <v>#REF!</v>
      </c>
      <c r="D60" s="57" t="e">
        <f t="shared" si="14"/>
        <v>#REF!</v>
      </c>
      <c r="E60" s="57">
        <v>56006.464707000006</v>
      </c>
      <c r="F60" s="57">
        <v>58335.061039</v>
      </c>
      <c r="G60" s="57">
        <v>66659.266263999991</v>
      </c>
      <c r="H60" s="57">
        <v>69574.129298999993</v>
      </c>
      <c r="I60" s="57">
        <v>74481</v>
      </c>
      <c r="J60" s="57">
        <v>71541</v>
      </c>
      <c r="K60" s="58">
        <v>81187</v>
      </c>
    </row>
    <row r="61" spans="2:11" x14ac:dyDescent="0.25">
      <c r="B61" s="8" t="s">
        <v>62</v>
      </c>
      <c r="C61" s="53" t="e">
        <f>#REF!/1000000</f>
        <v>#REF!</v>
      </c>
      <c r="D61" s="53" t="e">
        <f>#REF!/1000000</f>
        <v>#REF!</v>
      </c>
      <c r="E61" s="53">
        <v>204.54660000000001</v>
      </c>
      <c r="F61" s="53">
        <v>154.80041600000001</v>
      </c>
      <c r="G61" s="53">
        <v>114.935665</v>
      </c>
      <c r="H61" s="53">
        <v>48.23668</v>
      </c>
      <c r="I61" s="53">
        <v>7</v>
      </c>
      <c r="J61" s="53">
        <v>4</v>
      </c>
      <c r="K61" s="54">
        <v>9</v>
      </c>
    </row>
    <row r="62" spans="2:11" s="4" customFormat="1" x14ac:dyDescent="0.25">
      <c r="B62" s="49" t="s">
        <v>87</v>
      </c>
      <c r="C62" s="57" t="e">
        <f t="shared" ref="C62:D62" si="15">C60+C61</f>
        <v>#REF!</v>
      </c>
      <c r="D62" s="57" t="e">
        <f t="shared" si="15"/>
        <v>#REF!</v>
      </c>
      <c r="E62" s="57">
        <v>56211.011307000008</v>
      </c>
      <c r="F62" s="57">
        <v>58489.861454999998</v>
      </c>
      <c r="G62" s="57">
        <v>66774.201928999988</v>
      </c>
      <c r="H62" s="57">
        <v>69622.365978999995</v>
      </c>
      <c r="I62" s="57">
        <v>74488</v>
      </c>
      <c r="J62" s="57">
        <v>71545</v>
      </c>
      <c r="K62" s="58">
        <v>81196</v>
      </c>
    </row>
    <row r="63" spans="2:11" x14ac:dyDescent="0.25">
      <c r="B63" s="5" t="s">
        <v>36</v>
      </c>
      <c r="C63" s="53" t="e">
        <f>(#REF!)/1000000</f>
        <v>#REF!</v>
      </c>
      <c r="D63" s="53" t="e">
        <f>(#REF!)/1000000</f>
        <v>#REF!</v>
      </c>
      <c r="E63" s="53">
        <v>10572.034816700001</v>
      </c>
      <c r="F63" s="53">
        <v>9151.4939059999997</v>
      </c>
      <c r="G63" s="53">
        <v>9737.0655850000003</v>
      </c>
      <c r="H63" s="53">
        <v>10074.797508</v>
      </c>
      <c r="I63" s="53">
        <v>15716</v>
      </c>
      <c r="J63" s="53">
        <v>27973</v>
      </c>
      <c r="K63" s="54">
        <v>26547</v>
      </c>
    </row>
    <row r="64" spans="2:11" x14ac:dyDescent="0.25">
      <c r="B64" s="5" t="s">
        <v>26</v>
      </c>
      <c r="C64" s="53"/>
      <c r="D64" s="53" t="e">
        <f>(#REF!)/1000000</f>
        <v>#REF!</v>
      </c>
      <c r="E64" s="53">
        <v>286.37392</v>
      </c>
      <c r="F64" s="53">
        <v>135.68774199999999</v>
      </c>
      <c r="G64" s="53">
        <v>0</v>
      </c>
      <c r="H64" s="53">
        <v>0</v>
      </c>
      <c r="I64" s="53">
        <v>0</v>
      </c>
      <c r="J64" s="53">
        <v>0</v>
      </c>
      <c r="K64" s="54">
        <v>0</v>
      </c>
    </row>
    <row r="65" spans="2:14" x14ac:dyDescent="0.25">
      <c r="B65" s="5" t="s">
        <v>8</v>
      </c>
      <c r="C65" s="53" t="e">
        <f>(#REF!)/1000000</f>
        <v>#REF!</v>
      </c>
      <c r="D65" s="53" t="e">
        <f>(#REF!)/1000000</f>
        <v>#REF!</v>
      </c>
      <c r="E65" s="53">
        <v>11126.128581999999</v>
      </c>
      <c r="F65" s="53">
        <v>15106.912840999999</v>
      </c>
      <c r="G65" s="53">
        <v>0</v>
      </c>
      <c r="H65" s="53">
        <v>0</v>
      </c>
      <c r="I65" s="53">
        <v>0</v>
      </c>
      <c r="J65" s="53">
        <v>17589.2</v>
      </c>
      <c r="K65" s="54">
        <v>16052</v>
      </c>
    </row>
    <row r="66" spans="2:14" x14ac:dyDescent="0.25">
      <c r="B66" s="5" t="s">
        <v>9</v>
      </c>
      <c r="C66" s="53" t="e">
        <f>(#REF!)/1000000</f>
        <v>#REF!</v>
      </c>
      <c r="D66" s="53" t="e">
        <f>(#REF!)/1000000</f>
        <v>#REF!</v>
      </c>
      <c r="E66" s="53">
        <v>24558.377315000002</v>
      </c>
      <c r="F66" s="53">
        <v>26281.930361999999</v>
      </c>
      <c r="G66" s="53">
        <v>32812.694185</v>
      </c>
      <c r="H66" s="53">
        <v>34337.727901999999</v>
      </c>
      <c r="I66" s="53">
        <v>85364</v>
      </c>
      <c r="J66" s="53">
        <v>36222</v>
      </c>
      <c r="K66" s="54">
        <v>35668</v>
      </c>
    </row>
    <row r="67" spans="2:14" x14ac:dyDescent="0.25">
      <c r="B67" s="5" t="s">
        <v>10</v>
      </c>
      <c r="C67" s="53" t="e">
        <f>(#REF!)/1000000</f>
        <v>#REF!</v>
      </c>
      <c r="D67" s="53" t="e">
        <f>(#REF!)/1000000</f>
        <v>#REF!</v>
      </c>
      <c r="E67" s="53">
        <v>3776.2208839999998</v>
      </c>
      <c r="F67" s="53">
        <v>4111.2869049999999</v>
      </c>
      <c r="G67" s="53">
        <v>0</v>
      </c>
      <c r="H67" s="53">
        <v>0</v>
      </c>
      <c r="I67" s="53">
        <v>3696</v>
      </c>
      <c r="J67" s="53">
        <v>4281</v>
      </c>
      <c r="K67" s="54">
        <v>2889</v>
      </c>
    </row>
    <row r="68" spans="2:14" x14ac:dyDescent="0.25">
      <c r="B68" s="5" t="s">
        <v>11</v>
      </c>
      <c r="C68" s="53" t="e">
        <f>(#REF!)/1000000</f>
        <v>#REF!</v>
      </c>
      <c r="D68" s="53" t="e">
        <f>(#REF!)/1000000</f>
        <v>#REF!</v>
      </c>
      <c r="E68" s="53">
        <v>1843.7963569999999</v>
      </c>
      <c r="F68" s="53">
        <v>1739.028409</v>
      </c>
      <c r="G68" s="53">
        <v>0</v>
      </c>
      <c r="H68" s="53">
        <v>0</v>
      </c>
      <c r="I68" s="53">
        <v>0</v>
      </c>
      <c r="J68" s="53">
        <v>3057</v>
      </c>
      <c r="K68" s="54">
        <v>0</v>
      </c>
    </row>
    <row r="69" spans="2:14" x14ac:dyDescent="0.25">
      <c r="B69" s="5" t="s">
        <v>12</v>
      </c>
      <c r="C69" s="53" t="e">
        <f>(#REF!)/1000000+#REF!/1000000</f>
        <v>#REF!</v>
      </c>
      <c r="D69" s="53" t="e">
        <f>(#REF!)/1000000+#REF!/1000000</f>
        <v>#REF!</v>
      </c>
      <c r="E69" s="53">
        <v>24845.004315999999</v>
      </c>
      <c r="F69" s="53">
        <v>28097.252529000001</v>
      </c>
      <c r="G69" s="53">
        <v>55884.298185</v>
      </c>
      <c r="H69" s="53">
        <v>46297.611304999999</v>
      </c>
      <c r="I69" s="53">
        <v>0</v>
      </c>
      <c r="J69" s="53">
        <v>27989.800000000003</v>
      </c>
      <c r="K69" s="54">
        <v>38336</v>
      </c>
    </row>
    <row r="70" spans="2:14" x14ac:dyDescent="0.25">
      <c r="B70" s="5" t="s">
        <v>37</v>
      </c>
      <c r="C70" s="55" t="e">
        <f>(#REF!)/1000000</f>
        <v>#REF!</v>
      </c>
      <c r="D70" s="55" t="e">
        <f>(#REF!)/1000000</f>
        <v>#REF!</v>
      </c>
      <c r="E70" s="55">
        <v>5154.878138</v>
      </c>
      <c r="F70" s="55">
        <v>2240.6942560000002</v>
      </c>
      <c r="G70" s="55">
        <v>122.492868</v>
      </c>
      <c r="H70" s="55">
        <v>815.76529300000004</v>
      </c>
      <c r="I70" s="55">
        <v>815</v>
      </c>
      <c r="J70" s="55">
        <v>962</v>
      </c>
      <c r="K70" s="56">
        <v>0</v>
      </c>
    </row>
    <row r="71" spans="2:14" s="4" customFormat="1" x14ac:dyDescent="0.25">
      <c r="B71" s="24" t="s">
        <v>25</v>
      </c>
      <c r="C71" s="25" t="e">
        <f t="shared" ref="C71:D71" si="16">SUM(C62:C70)</f>
        <v>#REF!</v>
      </c>
      <c r="D71" s="25" t="e">
        <f t="shared" si="16"/>
        <v>#REF!</v>
      </c>
      <c r="E71" s="25">
        <v>138373.82563570002</v>
      </c>
      <c r="F71" s="25">
        <v>145354.14840499999</v>
      </c>
      <c r="G71" s="52">
        <v>165330.752752</v>
      </c>
      <c r="H71" s="25">
        <v>161148.267987</v>
      </c>
      <c r="I71" s="25">
        <v>180079</v>
      </c>
      <c r="J71" s="25">
        <v>189619</v>
      </c>
      <c r="K71" s="26">
        <v>200688</v>
      </c>
      <c r="L71" s="1"/>
      <c r="M71" s="1"/>
      <c r="N71" s="1"/>
    </row>
    <row r="72" spans="2:14" x14ac:dyDescent="0.25">
      <c r="C72" s="22"/>
      <c r="D72" s="6"/>
      <c r="H72" s="23"/>
      <c r="J72" s="23"/>
    </row>
    <row r="73" spans="2:14" x14ac:dyDescent="0.25">
      <c r="C73" s="22"/>
      <c r="D73" s="6"/>
      <c r="H73" s="23"/>
      <c r="J73" s="23"/>
    </row>
    <row r="74" spans="2:14" s="4" customFormat="1" x14ac:dyDescent="0.25">
      <c r="B74" s="2" t="s">
        <v>40</v>
      </c>
      <c r="C74" s="3">
        <v>41639</v>
      </c>
      <c r="D74" s="120">
        <v>2014</v>
      </c>
      <c r="E74" s="120">
        <v>2015</v>
      </c>
      <c r="F74" s="120">
        <v>2016</v>
      </c>
      <c r="G74" s="120">
        <v>2017</v>
      </c>
      <c r="H74" s="120">
        <v>2018</v>
      </c>
      <c r="I74" s="121" t="s">
        <v>101</v>
      </c>
      <c r="J74" s="121" t="s">
        <v>102</v>
      </c>
      <c r="K74" s="134" t="s">
        <v>105</v>
      </c>
    </row>
    <row r="75" spans="2:14" x14ac:dyDescent="0.25">
      <c r="B75" s="5"/>
      <c r="C75" s="6"/>
      <c r="D75" s="6"/>
      <c r="E75" s="6"/>
      <c r="F75" s="6"/>
      <c r="G75" s="6"/>
      <c r="H75" s="6"/>
      <c r="I75" s="23"/>
      <c r="J75" s="23"/>
      <c r="K75" s="129"/>
    </row>
    <row r="76" spans="2:14" s="4" customFormat="1" x14ac:dyDescent="0.25">
      <c r="B76" s="70" t="s">
        <v>88</v>
      </c>
      <c r="C76" s="50">
        <v>296328</v>
      </c>
      <c r="D76" s="90">
        <v>7444.6239999999998</v>
      </c>
      <c r="E76" s="90">
        <v>18389.165000000001</v>
      </c>
      <c r="F76" s="90">
        <v>19726.789000000001</v>
      </c>
      <c r="G76" s="90">
        <v>25919.216826</v>
      </c>
      <c r="H76" s="90">
        <v>18014.877262999998</v>
      </c>
      <c r="I76" s="90">
        <v>17962</v>
      </c>
      <c r="J76" s="90">
        <v>21769</v>
      </c>
      <c r="K76" s="91">
        <v>23653</v>
      </c>
    </row>
    <row r="77" spans="2:14" x14ac:dyDescent="0.25">
      <c r="B77" s="71" t="s">
        <v>73</v>
      </c>
      <c r="C77" s="6">
        <v>-38586</v>
      </c>
      <c r="D77" s="63">
        <f>4424.645+81.985</f>
        <v>4506.63</v>
      </c>
      <c r="E77" s="63">
        <v>10609.412</v>
      </c>
      <c r="F77" s="63">
        <v>9988.0730000000003</v>
      </c>
      <c r="G77" s="63">
        <v>797.44050500000048</v>
      </c>
      <c r="H77" s="63">
        <v>-5443.0170209999997</v>
      </c>
      <c r="I77" s="63">
        <v>7628</v>
      </c>
      <c r="J77" s="63">
        <v>-1162.1999999999998</v>
      </c>
      <c r="K77" s="92">
        <v>-4469</v>
      </c>
    </row>
    <row r="78" spans="2:14" x14ac:dyDescent="0.25">
      <c r="B78" s="71" t="s">
        <v>74</v>
      </c>
      <c r="C78" s="20">
        <v>0</v>
      </c>
      <c r="D78" s="63">
        <f>-(9435.344-490.689)</f>
        <v>-8944.6549999999988</v>
      </c>
      <c r="E78" s="63">
        <v>-12513.899000000001</v>
      </c>
      <c r="F78" s="63">
        <v>-7069.0170000000007</v>
      </c>
      <c r="G78" s="63">
        <v>-12079.744944</v>
      </c>
      <c r="H78" s="63">
        <v>-8322.0106109999997</v>
      </c>
      <c r="I78" s="63">
        <v>-7364</v>
      </c>
      <c r="J78" s="63">
        <v>-7400</v>
      </c>
      <c r="K78" s="92">
        <v>-3758</v>
      </c>
    </row>
    <row r="79" spans="2:14" x14ac:dyDescent="0.25">
      <c r="B79" s="71" t="s">
        <v>75</v>
      </c>
      <c r="C79" s="6"/>
      <c r="D79" s="63">
        <v>-39.192999999999998</v>
      </c>
      <c r="E79" s="63">
        <v>-34.776000000000003</v>
      </c>
      <c r="F79" s="63">
        <v>-1.1000000000000001</v>
      </c>
      <c r="G79" s="63">
        <v>-51</v>
      </c>
      <c r="H79" s="63">
        <v>-49.227578000000001</v>
      </c>
      <c r="I79" s="63">
        <v>-540</v>
      </c>
      <c r="J79" s="63">
        <v>-3352.5</v>
      </c>
      <c r="K79" s="92">
        <v>-3221</v>
      </c>
    </row>
    <row r="80" spans="2:14" x14ac:dyDescent="0.25">
      <c r="B80" s="71" t="s">
        <v>76</v>
      </c>
      <c r="C80" s="6"/>
      <c r="D80" s="63">
        <v>2.2000000000000002</v>
      </c>
      <c r="E80" s="63"/>
      <c r="F80" s="63">
        <v>2.2999999999999998</v>
      </c>
      <c r="G80" s="63"/>
      <c r="H80" s="63">
        <v>370.19462500000003</v>
      </c>
      <c r="I80" s="63">
        <v>21</v>
      </c>
      <c r="J80" s="63">
        <v>127.3</v>
      </c>
      <c r="K80" s="92">
        <v>79</v>
      </c>
    </row>
    <row r="81" spans="2:12" x14ac:dyDescent="0.25">
      <c r="B81" s="71" t="s">
        <v>77</v>
      </c>
      <c r="C81" s="6"/>
      <c r="D81" s="63"/>
      <c r="E81" s="63"/>
      <c r="F81" s="63"/>
      <c r="G81" s="63"/>
      <c r="H81" s="63">
        <v>-82.041179999999997</v>
      </c>
      <c r="I81" s="63">
        <v>-53</v>
      </c>
      <c r="J81" s="63"/>
      <c r="K81" s="92"/>
    </row>
    <row r="82" spans="2:12" x14ac:dyDescent="0.25">
      <c r="B82" s="71" t="s">
        <v>78</v>
      </c>
      <c r="C82" s="6"/>
      <c r="D82" s="63">
        <v>-6539.4369999999999</v>
      </c>
      <c r="E82" s="63">
        <v>-10887.06</v>
      </c>
      <c r="F82" s="63">
        <v>-17291.385999999999</v>
      </c>
      <c r="G82" s="63">
        <v>-10399.602212</v>
      </c>
      <c r="H82" s="63">
        <v>-10624.333004</v>
      </c>
      <c r="I82" s="63">
        <v>-11697</v>
      </c>
      <c r="J82" s="63">
        <v>-12104</v>
      </c>
      <c r="K82" s="92">
        <v>-7227</v>
      </c>
    </row>
    <row r="83" spans="2:12" x14ac:dyDescent="0.25">
      <c r="B83" s="70" t="s">
        <v>79</v>
      </c>
      <c r="C83" s="6"/>
      <c r="D83" s="93">
        <f>D76+SUM(D77:D82)</f>
        <v>-3569.8309999999983</v>
      </c>
      <c r="E83" s="93">
        <v>5562.8420000000006</v>
      </c>
      <c r="F83" s="93">
        <v>5355.6590000000015</v>
      </c>
      <c r="G83" s="93">
        <v>4186.3101750000023</v>
      </c>
      <c r="H83" s="93">
        <v>-6135.557506000001</v>
      </c>
      <c r="I83" s="93">
        <v>5957</v>
      </c>
      <c r="J83" s="93">
        <v>-2122.4000000000015</v>
      </c>
      <c r="K83" s="94">
        <v>5057</v>
      </c>
    </row>
    <row r="84" spans="2:12" x14ac:dyDescent="0.25">
      <c r="B84" s="71"/>
      <c r="C84" s="6"/>
      <c r="D84" s="20"/>
      <c r="E84" s="20"/>
      <c r="F84" s="20"/>
      <c r="G84" s="20"/>
      <c r="H84" s="20"/>
      <c r="I84" s="20"/>
      <c r="J84" s="20"/>
      <c r="K84" s="21"/>
    </row>
    <row r="85" spans="2:12" x14ac:dyDescent="0.25">
      <c r="B85" s="113" t="s">
        <v>80</v>
      </c>
      <c r="C85" s="27"/>
      <c r="D85" s="61">
        <v>-113.16800000000001</v>
      </c>
      <c r="E85" s="61">
        <v>-3682.9989999999984</v>
      </c>
      <c r="F85" s="61">
        <v>1879.8430000000021</v>
      </c>
      <c r="G85" s="61">
        <v>7235.502000000004</v>
      </c>
      <c r="H85" s="122">
        <v>12618</v>
      </c>
      <c r="I85" s="122">
        <v>33413</v>
      </c>
      <c r="J85" s="122">
        <v>39370</v>
      </c>
      <c r="K85" s="114">
        <v>37247.599999999999</v>
      </c>
    </row>
    <row r="86" spans="2:12" x14ac:dyDescent="0.25">
      <c r="B86" s="115" t="s">
        <v>83</v>
      </c>
      <c r="C86" s="116"/>
      <c r="D86" s="117">
        <f>D85+D83</f>
        <v>-3682.9989999999984</v>
      </c>
      <c r="E86" s="117">
        <v>1879.8430000000021</v>
      </c>
      <c r="F86" s="117">
        <v>7235.502000000004</v>
      </c>
      <c r="G86" s="118">
        <v>11421.812175000006</v>
      </c>
      <c r="H86" s="117">
        <v>6482.442493999999</v>
      </c>
      <c r="I86" s="117">
        <v>39370</v>
      </c>
      <c r="J86" s="117">
        <v>37247.599999999999</v>
      </c>
      <c r="K86" s="119">
        <v>42304.6</v>
      </c>
      <c r="L86" s="22"/>
    </row>
    <row r="87" spans="2:12" x14ac:dyDescent="0.25">
      <c r="B87" s="86" t="s">
        <v>82</v>
      </c>
      <c r="C87" s="87"/>
      <c r="D87" s="88" t="e">
        <f>(D53-D70)-D86</f>
        <v>#REF!</v>
      </c>
      <c r="E87" s="88">
        <v>1.5919999982543231E-3</v>
      </c>
      <c r="F87" s="88">
        <v>1.311999994868529E-3</v>
      </c>
      <c r="G87" s="88">
        <v>1.311999994868529E-3</v>
      </c>
      <c r="H87" s="88">
        <v>0.64010200000029727</v>
      </c>
      <c r="I87" s="88">
        <v>0</v>
      </c>
      <c r="J87" s="88">
        <v>939.40000000000146</v>
      </c>
      <c r="K87" s="89">
        <v>11225.400000000001</v>
      </c>
    </row>
    <row r="88" spans="2:12" x14ac:dyDescent="0.25">
      <c r="B88" s="51"/>
      <c r="C88" s="6"/>
      <c r="D88" s="66"/>
      <c r="E88" s="67"/>
      <c r="F88" s="67"/>
      <c r="G88" s="67"/>
      <c r="H88" s="67"/>
      <c r="I88" s="67"/>
      <c r="J88" s="67"/>
      <c r="K88" s="68"/>
    </row>
    <row r="89" spans="2:12" s="4" customFormat="1" x14ac:dyDescent="0.25">
      <c r="B89" s="28" t="s">
        <v>68</v>
      </c>
      <c r="C89" s="29" t="e">
        <f>(#REF!)</f>
        <v>#REF!</v>
      </c>
      <c r="D89" s="52" t="e">
        <f>D63+D53-D70</f>
        <v>#REF!</v>
      </c>
      <c r="E89" s="52">
        <v>12451.879408700002</v>
      </c>
      <c r="F89" s="52">
        <v>16386.997218</v>
      </c>
      <c r="G89" s="52">
        <v>21158.879072</v>
      </c>
      <c r="H89" s="52">
        <v>16557.880104</v>
      </c>
      <c r="I89" s="52">
        <v>55086</v>
      </c>
      <c r="J89" s="52">
        <v>66160</v>
      </c>
      <c r="K89" s="69">
        <v>80077</v>
      </c>
    </row>
    <row r="90" spans="2:12" x14ac:dyDescent="0.25">
      <c r="D90" s="23"/>
      <c r="H90" s="23"/>
      <c r="J90" s="23"/>
    </row>
    <row r="91" spans="2:12" x14ac:dyDescent="0.25">
      <c r="D91" s="23"/>
      <c r="H91" s="23"/>
      <c r="J91" s="23"/>
    </row>
    <row r="92" spans="2:12" s="4" customFormat="1" x14ac:dyDescent="0.25">
      <c r="B92" s="2" t="s">
        <v>104</v>
      </c>
      <c r="C92" s="3">
        <v>41639</v>
      </c>
      <c r="D92" s="120">
        <v>2014</v>
      </c>
      <c r="E92" s="120">
        <v>2015</v>
      </c>
      <c r="F92" s="120">
        <v>2016</v>
      </c>
      <c r="G92" s="120">
        <v>2017</v>
      </c>
      <c r="H92" s="120">
        <v>2018</v>
      </c>
      <c r="I92" s="121" t="s">
        <v>101</v>
      </c>
      <c r="J92" s="121" t="s">
        <v>102</v>
      </c>
      <c r="K92" s="134" t="s">
        <v>105</v>
      </c>
    </row>
    <row r="93" spans="2:12" x14ac:dyDescent="0.25">
      <c r="B93" s="5"/>
      <c r="C93" s="23"/>
      <c r="D93" s="23"/>
      <c r="E93" s="23"/>
      <c r="F93" s="23"/>
      <c r="G93" s="23"/>
      <c r="H93" s="23"/>
      <c r="I93" s="23"/>
      <c r="J93" s="23"/>
      <c r="K93" s="129"/>
    </row>
    <row r="94" spans="2:12" x14ac:dyDescent="0.25">
      <c r="B94" s="8" t="s">
        <v>33</v>
      </c>
      <c r="C94" s="23"/>
      <c r="D94" s="23"/>
      <c r="E94" s="84">
        <v>8.7009447743644053E-2</v>
      </c>
      <c r="F94" s="84">
        <v>2.6729919955502224E-2</v>
      </c>
      <c r="G94" s="84">
        <v>6.6351119972021699E-2</v>
      </c>
      <c r="H94" s="84">
        <v>-1.6439059552337043E-2</v>
      </c>
      <c r="I94" s="84">
        <v>-5.6926341579801254E-2</v>
      </c>
      <c r="J94" s="84">
        <v>-1.2409362014649372E-2</v>
      </c>
      <c r="K94" s="85">
        <v>-4.4785179522920937E-2</v>
      </c>
    </row>
    <row r="95" spans="2:12" x14ac:dyDescent="0.25">
      <c r="B95" s="8" t="s">
        <v>71</v>
      </c>
      <c r="C95" s="23"/>
      <c r="D95" s="23"/>
      <c r="E95" s="124">
        <v>-1.1790773140389064</v>
      </c>
      <c r="F95" s="124">
        <v>6.7506041749363721</v>
      </c>
      <c r="G95" s="124">
        <v>-1</v>
      </c>
      <c r="H95" s="124"/>
      <c r="I95" s="124"/>
      <c r="J95" s="124"/>
      <c r="K95" s="130"/>
    </row>
    <row r="96" spans="2:12" x14ac:dyDescent="0.25">
      <c r="B96" s="8" t="s">
        <v>20</v>
      </c>
      <c r="C96" s="23"/>
      <c r="D96" s="23"/>
      <c r="E96" s="124"/>
      <c r="F96" s="124"/>
      <c r="G96" s="124"/>
      <c r="H96" s="124"/>
      <c r="I96" s="124"/>
      <c r="J96" s="124"/>
      <c r="K96" s="130"/>
    </row>
    <row r="97" spans="2:11" x14ac:dyDescent="0.25">
      <c r="B97" s="8" t="s">
        <v>21</v>
      </c>
      <c r="C97" s="23"/>
      <c r="D97" s="23"/>
      <c r="E97" s="124">
        <v>8.0948013354813266</v>
      </c>
      <c r="F97" s="124">
        <v>-8.4543772886677804E-2</v>
      </c>
      <c r="G97" s="124">
        <v>1.5569874482566557</v>
      </c>
      <c r="H97" s="124">
        <v>1.0527492204800701</v>
      </c>
      <c r="I97" s="124">
        <v>-0.97507029713374049</v>
      </c>
      <c r="J97" s="124">
        <v>0.77049180327868849</v>
      </c>
      <c r="K97" s="130">
        <v>0.21296296296296302</v>
      </c>
    </row>
    <row r="98" spans="2:11" x14ac:dyDescent="0.25">
      <c r="B98" s="9" t="s">
        <v>29</v>
      </c>
      <c r="C98" s="123"/>
      <c r="D98" s="123"/>
      <c r="E98" s="125">
        <v>9.2440980705605913E-2</v>
      </c>
      <c r="F98" s="125">
        <v>2.6043062679599105E-2</v>
      </c>
      <c r="G98" s="125">
        <v>7.4005179581990488E-2</v>
      </c>
      <c r="H98" s="125">
        <v>-3.4740921908823497E-3</v>
      </c>
      <c r="I98" s="125">
        <v>-7.9860104547768596E-2</v>
      </c>
      <c r="J98" s="125">
        <v>-1.1879534240754941E-2</v>
      </c>
      <c r="K98" s="131">
        <v>-4.4472638268250542E-2</v>
      </c>
    </row>
    <row r="99" spans="2:11" x14ac:dyDescent="0.25">
      <c r="B99" s="5"/>
      <c r="C99" s="23"/>
      <c r="D99" s="23"/>
      <c r="E99" s="126"/>
      <c r="F99" s="126"/>
      <c r="G99" s="126"/>
      <c r="H99" s="126"/>
      <c r="I99" s="126"/>
      <c r="J99" s="126"/>
      <c r="K99" s="132"/>
    </row>
    <row r="100" spans="2:11" x14ac:dyDescent="0.25">
      <c r="B100" s="5" t="s">
        <v>13</v>
      </c>
      <c r="C100" s="23"/>
      <c r="D100" s="23"/>
      <c r="E100" s="124">
        <v>4.4655214955298117E-3</v>
      </c>
      <c r="F100" s="124">
        <v>-8.3971131925165921E-2</v>
      </c>
      <c r="G100" s="124">
        <v>4.7229047787778589E-2</v>
      </c>
      <c r="H100" s="124">
        <v>-2.9014785808901933E-2</v>
      </c>
      <c r="I100" s="124">
        <v>-1</v>
      </c>
      <c r="J100" s="124"/>
      <c r="K100" s="130"/>
    </row>
    <row r="101" spans="2:11" x14ac:dyDescent="0.25">
      <c r="B101" s="5" t="s">
        <v>14</v>
      </c>
      <c r="C101" s="23"/>
      <c r="D101" s="23"/>
      <c r="E101" s="124">
        <v>0.16503558344014824</v>
      </c>
      <c r="F101" s="124">
        <v>-9.3603406508656617E-2</v>
      </c>
      <c r="G101" s="124">
        <v>-1</v>
      </c>
      <c r="H101" s="124"/>
      <c r="I101" s="124"/>
      <c r="J101" s="124"/>
      <c r="K101" s="130"/>
    </row>
    <row r="102" spans="2:11" x14ac:dyDescent="0.25">
      <c r="B102" s="5" t="s">
        <v>15</v>
      </c>
      <c r="C102" s="23"/>
      <c r="D102" s="23"/>
      <c r="E102" s="124">
        <v>9.5123346126949171E-2</v>
      </c>
      <c r="F102" s="124">
        <v>1.3791637128545808E-2</v>
      </c>
      <c r="G102" s="124">
        <v>8.2679050975323465E-2</v>
      </c>
      <c r="H102" s="124">
        <v>1.6424267885404076E-2</v>
      </c>
      <c r="I102" s="124">
        <v>-1</v>
      </c>
      <c r="J102" s="124"/>
      <c r="K102" s="130"/>
    </row>
    <row r="103" spans="2:11" x14ac:dyDescent="0.25">
      <c r="B103" s="5" t="s">
        <v>17</v>
      </c>
      <c r="C103" s="23"/>
      <c r="D103" s="23"/>
      <c r="E103" s="84">
        <v>-0.25203384538550433</v>
      </c>
      <c r="F103" s="84">
        <v>1.6468855758613326</v>
      </c>
      <c r="G103" s="84">
        <v>-0.56322535621771008</v>
      </c>
      <c r="H103" s="84">
        <v>1.5605231880255888</v>
      </c>
      <c r="I103" s="84">
        <v>11.149339736851198</v>
      </c>
      <c r="J103" s="84">
        <v>-7.0744155416529453E-2</v>
      </c>
      <c r="K103" s="85">
        <v>-5.5277005120209721E-2</v>
      </c>
    </row>
    <row r="104" spans="2:11" x14ac:dyDescent="0.25">
      <c r="B104" s="32" t="s">
        <v>28</v>
      </c>
      <c r="C104" s="127"/>
      <c r="D104" s="127"/>
      <c r="E104" s="128">
        <v>0.13136651229603835</v>
      </c>
      <c r="F104" s="128">
        <v>2.8734281326969757E-4</v>
      </c>
      <c r="G104" s="128">
        <v>0.15449462906750266</v>
      </c>
      <c r="H104" s="128">
        <v>-7.1945568767572299E-2</v>
      </c>
      <c r="I104" s="128">
        <v>-0.38256913292030692</v>
      </c>
      <c r="J104" s="128">
        <v>0.10974728085042518</v>
      </c>
      <c r="K104" s="133">
        <v>-2.5779358121570617E-2</v>
      </c>
    </row>
    <row r="105" spans="2:11" x14ac:dyDescent="0.25">
      <c r="B105" s="5"/>
      <c r="C105" s="23"/>
      <c r="D105" s="23"/>
      <c r="E105" s="126"/>
      <c r="F105" s="126"/>
      <c r="G105" s="126"/>
      <c r="H105" s="126"/>
      <c r="I105" s="126"/>
      <c r="J105" s="126"/>
      <c r="K105" s="132"/>
    </row>
    <row r="106" spans="2:11" x14ac:dyDescent="0.25">
      <c r="B106" s="5" t="s">
        <v>16</v>
      </c>
      <c r="C106" s="23"/>
      <c r="D106" s="23"/>
      <c r="E106" s="124">
        <v>-9.0843186760204309E-2</v>
      </c>
      <c r="F106" s="124">
        <v>0.20336100674971358</v>
      </c>
      <c r="G106" s="124">
        <v>-5.8064444109280355E-2</v>
      </c>
      <c r="H106" s="124">
        <v>0.15896082881232387</v>
      </c>
      <c r="I106" s="124">
        <v>-1</v>
      </c>
      <c r="J106" s="124"/>
      <c r="K106" s="130"/>
    </row>
    <row r="107" spans="2:11" x14ac:dyDescent="0.25">
      <c r="B107" s="5" t="s">
        <v>19</v>
      </c>
      <c r="C107" s="23"/>
      <c r="D107" s="23"/>
      <c r="E107" s="84">
        <v>8.2323576540867194E-2</v>
      </c>
      <c r="F107" s="84">
        <v>-2.9460465667479618E-2</v>
      </c>
      <c r="G107" s="84">
        <v>8.0046226787347186E-2</v>
      </c>
      <c r="H107" s="84">
        <v>5.4304813741663294E-2</v>
      </c>
      <c r="I107" s="84">
        <v>-0.32890576324677379</v>
      </c>
      <c r="J107" s="84">
        <v>-3.2109869916340239E-2</v>
      </c>
      <c r="K107" s="85">
        <v>-4.5865600799400497E-2</v>
      </c>
    </row>
    <row r="108" spans="2:11" x14ac:dyDescent="0.25">
      <c r="B108" s="32" t="s">
        <v>30</v>
      </c>
      <c r="C108" s="127"/>
      <c r="D108" s="127"/>
      <c r="E108" s="128">
        <v>0.40182538931778233</v>
      </c>
      <c r="F108" s="128">
        <v>-5.1420702695735843E-3</v>
      </c>
      <c r="G108" s="128">
        <v>0.41481049037636342</v>
      </c>
      <c r="H108" s="128">
        <v>-0.35556592133407228</v>
      </c>
      <c r="I108" s="128">
        <v>-0.20790092825118944</v>
      </c>
      <c r="J108" s="128">
        <v>0.446239256012682</v>
      </c>
      <c r="K108" s="133">
        <v>6.1072335025380564E-3</v>
      </c>
    </row>
    <row r="109" spans="2:11" x14ac:dyDescent="0.25">
      <c r="B109" s="5"/>
      <c r="C109" s="23"/>
      <c r="D109" s="23"/>
      <c r="E109" s="126"/>
      <c r="F109" s="126"/>
      <c r="G109" s="126"/>
      <c r="H109" s="126"/>
      <c r="I109" s="126"/>
      <c r="J109" s="126"/>
      <c r="K109" s="132"/>
    </row>
    <row r="110" spans="2:11" x14ac:dyDescent="0.25">
      <c r="B110" s="5" t="s">
        <v>18</v>
      </c>
      <c r="C110" s="23"/>
      <c r="D110" s="23"/>
      <c r="E110" s="124">
        <v>0.2802389267885832</v>
      </c>
      <c r="F110" s="124">
        <v>-4.4061438551080911E-2</v>
      </c>
      <c r="G110" s="124">
        <v>4.2835714515519152E-2</v>
      </c>
      <c r="H110" s="124">
        <v>-0.1144986010194543</v>
      </c>
      <c r="I110" s="124">
        <v>-0.4498023036340334</v>
      </c>
      <c r="J110" s="124">
        <v>0.6541301338255654</v>
      </c>
      <c r="K110" s="130">
        <v>0.11996094294880733</v>
      </c>
    </row>
    <row r="111" spans="2:11" x14ac:dyDescent="0.25">
      <c r="B111" s="5" t="s">
        <v>22</v>
      </c>
      <c r="C111" s="23"/>
      <c r="D111" s="23"/>
      <c r="E111" s="84">
        <v>0.15671598911311269</v>
      </c>
      <c r="F111" s="84">
        <v>1.003595414563192</v>
      </c>
      <c r="G111" s="84">
        <v>-0.56300541487443534</v>
      </c>
      <c r="H111" s="84">
        <v>0.14532449486592891</v>
      </c>
      <c r="I111" s="84">
        <v>-1</v>
      </c>
      <c r="J111" s="84"/>
      <c r="K111" s="85"/>
    </row>
    <row r="112" spans="2:11" x14ac:dyDescent="0.25">
      <c r="B112" s="32" t="s">
        <v>23</v>
      </c>
      <c r="C112" s="127"/>
      <c r="D112" s="127"/>
      <c r="E112" s="128">
        <v>0.53955114879747956</v>
      </c>
      <c r="F112" s="128">
        <v>0.43333975974477457</v>
      </c>
      <c r="G112" s="128">
        <v>0.35019010721323918</v>
      </c>
      <c r="H112" s="128">
        <v>-0.49103752615518526</v>
      </c>
      <c r="I112" s="128">
        <v>-0.12205676982302893</v>
      </c>
      <c r="J112" s="128">
        <v>0.24070922306145293</v>
      </c>
      <c r="K112" s="133">
        <v>-0.14396028681742967</v>
      </c>
    </row>
    <row r="113" spans="2:11" x14ac:dyDescent="0.25">
      <c r="B113" s="5"/>
      <c r="C113" s="23"/>
      <c r="D113" s="23"/>
      <c r="E113" s="126"/>
      <c r="F113" s="126"/>
      <c r="G113" s="126"/>
      <c r="H113" s="126"/>
      <c r="I113" s="126"/>
      <c r="J113" s="126"/>
      <c r="K113" s="132"/>
    </row>
    <row r="114" spans="2:11" x14ac:dyDescent="0.25">
      <c r="B114" s="5" t="s">
        <v>31</v>
      </c>
      <c r="C114" s="23"/>
      <c r="D114" s="23"/>
      <c r="E114" s="124">
        <v>11.646138863180454</v>
      </c>
      <c r="F114" s="124">
        <v>-0.41903061151664656</v>
      </c>
      <c r="G114" s="124">
        <v>-0.46245114454271508</v>
      </c>
      <c r="H114" s="124">
        <v>0.47195768244818614</v>
      </c>
      <c r="I114" s="124">
        <v>0.4687109749888021</v>
      </c>
      <c r="J114" s="124">
        <v>2.1943755169561623</v>
      </c>
      <c r="K114" s="130">
        <v>-0.17814603832211284</v>
      </c>
    </row>
    <row r="115" spans="2:11" x14ac:dyDescent="0.25">
      <c r="B115" s="5" t="s">
        <v>34</v>
      </c>
      <c r="C115" s="23"/>
      <c r="D115" s="23"/>
      <c r="E115" s="124">
        <v>-0.82254135221735392</v>
      </c>
      <c r="F115" s="124">
        <v>-5.842089152170165</v>
      </c>
      <c r="G115" s="124">
        <v>-2.8441971741025784</v>
      </c>
      <c r="H115" s="124">
        <v>-1.3012272785611063</v>
      </c>
      <c r="I115" s="124">
        <v>-1</v>
      </c>
      <c r="J115" s="124"/>
      <c r="K115" s="130"/>
    </row>
    <row r="116" spans="2:11" x14ac:dyDescent="0.25">
      <c r="B116" s="5" t="s">
        <v>61</v>
      </c>
      <c r="C116" s="23"/>
      <c r="D116" s="23"/>
      <c r="E116" s="124">
        <v>0.36373592154692957</v>
      </c>
      <c r="F116" s="124">
        <v>-1.5039082733461058</v>
      </c>
      <c r="G116" s="124">
        <v>-1.6805001164039888</v>
      </c>
      <c r="H116" s="124">
        <v>4.8453684198719387</v>
      </c>
      <c r="I116" s="124">
        <v>-1</v>
      </c>
      <c r="J116" s="124"/>
      <c r="K116" s="130"/>
    </row>
    <row r="117" spans="2:11" x14ac:dyDescent="0.25">
      <c r="B117" s="5" t="s">
        <v>32</v>
      </c>
      <c r="C117" s="23"/>
      <c r="D117" s="23"/>
      <c r="E117" s="84">
        <v>0.35057085492105333</v>
      </c>
      <c r="F117" s="84">
        <v>0.12797816430485098</v>
      </c>
      <c r="G117" s="84">
        <v>0.221269641075029</v>
      </c>
      <c r="H117" s="84">
        <v>-0.18544347852750931</v>
      </c>
      <c r="I117" s="84">
        <v>-8.5106990418420181E-2</v>
      </c>
      <c r="J117" s="84">
        <v>1.6522542498152255</v>
      </c>
      <c r="K117" s="85">
        <v>-0.39417583948725099</v>
      </c>
    </row>
    <row r="118" spans="2:11" x14ac:dyDescent="0.25">
      <c r="B118" s="32" t="s">
        <v>65</v>
      </c>
      <c r="C118" s="127"/>
      <c r="D118" s="127"/>
      <c r="E118" s="128">
        <v>0.18112432489944963</v>
      </c>
      <c r="F118" s="128">
        <v>0.78555309681454322</v>
      </c>
      <c r="G118" s="128">
        <v>0.77031584433080846</v>
      </c>
      <c r="H118" s="128">
        <v>-0.6142029251241331</v>
      </c>
      <c r="I118" s="128">
        <v>-0.54999285740184467</v>
      </c>
      <c r="J118" s="128">
        <v>-4.4184832891231984</v>
      </c>
      <c r="K118" s="133">
        <v>-0.65140365222131369</v>
      </c>
    </row>
    <row r="119" spans="2:11" x14ac:dyDescent="0.25">
      <c r="B119" s="31"/>
      <c r="C119" s="23"/>
      <c r="D119" s="23"/>
      <c r="E119" s="126"/>
      <c r="F119" s="126"/>
      <c r="G119" s="126"/>
      <c r="H119" s="126"/>
      <c r="I119" s="126"/>
      <c r="J119" s="126"/>
      <c r="K119" s="132"/>
    </row>
    <row r="120" spans="2:11" x14ac:dyDescent="0.25">
      <c r="B120" s="31" t="s">
        <v>85</v>
      </c>
      <c r="C120" s="23"/>
      <c r="D120" s="23"/>
      <c r="E120" s="124">
        <v>1.0795218584349398E-2</v>
      </c>
      <c r="F120" s="124">
        <v>0.22118107502532847</v>
      </c>
      <c r="G120" s="124">
        <v>0.18724275351274233</v>
      </c>
      <c r="H120" s="124">
        <v>3.5993402019110388E-2</v>
      </c>
      <c r="I120" s="124">
        <v>7.6234986606890764E-2</v>
      </c>
      <c r="J120" s="124">
        <v>3.7931765204492374E-2</v>
      </c>
      <c r="K120" s="130">
        <v>7.3975772424118791E-2</v>
      </c>
    </row>
    <row r="121" spans="2:11" x14ac:dyDescent="0.25">
      <c r="B121" s="31" t="s">
        <v>103</v>
      </c>
      <c r="C121" s="23"/>
      <c r="D121" s="23"/>
      <c r="E121" s="84"/>
      <c r="F121" s="84"/>
      <c r="G121" s="84"/>
      <c r="H121" s="84"/>
      <c r="I121" s="84"/>
      <c r="J121" s="84">
        <v>-1</v>
      </c>
      <c r="K121" s="85" t="s">
        <v>100</v>
      </c>
    </row>
    <row r="122" spans="2:11" x14ac:dyDescent="0.25">
      <c r="B122" s="32" t="s">
        <v>91</v>
      </c>
      <c r="C122" s="127"/>
      <c r="D122" s="127"/>
      <c r="E122" s="128">
        <v>3.8124484249055346E-2</v>
      </c>
      <c r="F122" s="128">
        <v>0.32420800297077701</v>
      </c>
      <c r="G122" s="128">
        <v>0.33076685421315055</v>
      </c>
      <c r="H122" s="128">
        <v>-0.17691614128776423</v>
      </c>
      <c r="I122" s="128">
        <v>-1.9752782032123495E-2</v>
      </c>
      <c r="J122" s="128">
        <v>-0.27620830048916478</v>
      </c>
      <c r="K122" s="133">
        <v>0.31546485260770973</v>
      </c>
    </row>
    <row r="123" spans="2:11" x14ac:dyDescent="0.25">
      <c r="B123" s="31"/>
      <c r="C123" s="23"/>
      <c r="D123" s="23"/>
      <c r="E123" s="126"/>
      <c r="F123" s="126"/>
      <c r="G123" s="126"/>
      <c r="H123" s="126"/>
      <c r="I123" s="126"/>
      <c r="J123" s="126"/>
      <c r="K123" s="132"/>
    </row>
    <row r="124" spans="2:11" x14ac:dyDescent="0.25">
      <c r="B124" s="31" t="s">
        <v>64</v>
      </c>
      <c r="C124" s="23"/>
      <c r="D124" s="23"/>
      <c r="E124" s="84">
        <v>-0.4518866325374763</v>
      </c>
      <c r="F124" s="84">
        <v>-1.621570217338216</v>
      </c>
      <c r="G124" s="84">
        <v>0.58418448858539751</v>
      </c>
      <c r="H124" s="84">
        <v>4.276338804027735E-2</v>
      </c>
      <c r="I124" s="84">
        <v>-0.59014891577511996</v>
      </c>
      <c r="J124" s="84">
        <v>-0.70588235294117641</v>
      </c>
      <c r="K124" s="85">
        <v>-1.6</v>
      </c>
    </row>
    <row r="125" spans="2:11" x14ac:dyDescent="0.25">
      <c r="B125" s="32" t="s">
        <v>90</v>
      </c>
      <c r="C125" s="127"/>
      <c r="D125" s="127"/>
      <c r="E125" s="128">
        <v>4.1649098823265396E-2</v>
      </c>
      <c r="F125" s="128">
        <v>0.33157258305332782</v>
      </c>
      <c r="G125" s="128">
        <v>0.33121458487402267</v>
      </c>
      <c r="H125" s="128">
        <v>-0.17645426328143776</v>
      </c>
      <c r="I125" s="128">
        <v>-2.1271273364942278E-2</v>
      </c>
      <c r="J125" s="128">
        <v>-0.27668730392110874</v>
      </c>
      <c r="K125" s="133">
        <v>0.31459655485040794</v>
      </c>
    </row>
    <row r="126" spans="2:11" x14ac:dyDescent="0.25">
      <c r="D126" s="23"/>
      <c r="H126" s="23"/>
      <c r="J126" s="23"/>
    </row>
    <row r="127" spans="2:11" x14ac:dyDescent="0.25">
      <c r="D127" s="23"/>
      <c r="H127" s="23"/>
      <c r="J127" s="23"/>
    </row>
    <row r="128" spans="2:11" s="4" customFormat="1" x14ac:dyDescent="0.25">
      <c r="B128" s="2" t="s">
        <v>38</v>
      </c>
      <c r="C128" s="3">
        <v>41639</v>
      </c>
      <c r="D128" s="120">
        <v>2014</v>
      </c>
      <c r="E128" s="120">
        <v>2015</v>
      </c>
      <c r="F128" s="120">
        <v>2016</v>
      </c>
      <c r="G128" s="120">
        <v>2017</v>
      </c>
      <c r="H128" s="120">
        <v>2018</v>
      </c>
      <c r="I128" s="121" t="s">
        <v>101</v>
      </c>
      <c r="J128" s="121" t="s">
        <v>102</v>
      </c>
      <c r="K128" s="134" t="s">
        <v>105</v>
      </c>
    </row>
    <row r="129" spans="2:11" x14ac:dyDescent="0.25">
      <c r="B129" s="5" t="s">
        <v>63</v>
      </c>
      <c r="C129" s="6"/>
      <c r="D129" s="103" t="s">
        <v>81</v>
      </c>
      <c r="E129" s="103" t="s">
        <v>81</v>
      </c>
      <c r="F129" s="103" t="s">
        <v>81</v>
      </c>
      <c r="G129" s="103" t="s">
        <v>81</v>
      </c>
      <c r="H129" s="103" t="s">
        <v>81</v>
      </c>
      <c r="I129" s="103" t="s">
        <v>81</v>
      </c>
      <c r="J129" s="103" t="s">
        <v>81</v>
      </c>
      <c r="K129" s="138" t="s">
        <v>81</v>
      </c>
    </row>
    <row r="130" spans="2:11" x14ac:dyDescent="0.25">
      <c r="B130" s="8" t="s">
        <v>1</v>
      </c>
      <c r="C130" s="30"/>
      <c r="D130" s="98" t="e">
        <f>((D48-C48)/C48)*100</f>
        <v>#REF!</v>
      </c>
      <c r="E130" s="98">
        <v>-0.13379574379349674</v>
      </c>
      <c r="F130" s="98">
        <v>-4.9868285103071092E-2</v>
      </c>
      <c r="G130" s="98">
        <v>0.50026666666666442</v>
      </c>
      <c r="H130" s="98">
        <v>236.24966921408642</v>
      </c>
      <c r="I130" s="98">
        <v>-87.866136784326855</v>
      </c>
      <c r="J130" s="98">
        <v>8.8435374149659864</v>
      </c>
      <c r="K130" s="99">
        <v>-16.25</v>
      </c>
    </row>
    <row r="131" spans="2:11" x14ac:dyDescent="0.25">
      <c r="B131" s="8" t="s">
        <v>2</v>
      </c>
      <c r="C131" s="30"/>
      <c r="D131" s="98" t="e">
        <f>((D49-C49)/C49)*100</f>
        <v>#REF!</v>
      </c>
      <c r="E131" s="98">
        <v>11.133535386125963</v>
      </c>
      <c r="F131" s="98">
        <v>6.8284729279579377</v>
      </c>
      <c r="G131" s="98">
        <v>-0.64631091444635869</v>
      </c>
      <c r="H131" s="98">
        <v>7.3562347286933232</v>
      </c>
      <c r="I131" s="98">
        <v>45.202524524978131</v>
      </c>
      <c r="J131" s="98">
        <v>30.813163481953293</v>
      </c>
      <c r="K131" s="99">
        <v>-5.633551360914093</v>
      </c>
    </row>
    <row r="132" spans="2:11" x14ac:dyDescent="0.25">
      <c r="B132" s="5" t="s">
        <v>3</v>
      </c>
      <c r="C132" s="30"/>
      <c r="D132" s="98" t="e">
        <f>((D50-C50)/C50)*100</f>
        <v>#REF!</v>
      </c>
      <c r="E132" s="98">
        <v>7.8366823343955154</v>
      </c>
      <c r="F132" s="98">
        <v>10.888346629665859</v>
      </c>
      <c r="G132" s="98">
        <v>17.171295670010732</v>
      </c>
      <c r="H132" s="98">
        <v>0.93128285729165239</v>
      </c>
      <c r="I132" s="98">
        <v>3.5315775209445941</v>
      </c>
      <c r="J132" s="98">
        <v>-2.9428479652096566</v>
      </c>
      <c r="K132" s="99">
        <v>6.0285132382892055</v>
      </c>
    </row>
    <row r="133" spans="2:11" x14ac:dyDescent="0.25">
      <c r="B133" s="5" t="s">
        <v>4</v>
      </c>
      <c r="C133" s="30"/>
      <c r="D133" s="98" t="e">
        <f>((D51-C51)/C51)*100</f>
        <v>#REF!</v>
      </c>
      <c r="E133" s="98">
        <v>12.86169422746741</v>
      </c>
      <c r="F133" s="98">
        <v>4.9682395186945909</v>
      </c>
      <c r="G133" s="98">
        <v>27.086790193502118</v>
      </c>
      <c r="H133" s="98">
        <v>-8.3871630239925459</v>
      </c>
      <c r="I133" s="98">
        <v>-38.168151596137442</v>
      </c>
      <c r="J133" s="98">
        <v>-0.60524546065904505</v>
      </c>
      <c r="K133" s="99">
        <v>-5.480378890392422</v>
      </c>
    </row>
    <row r="134" spans="2:11" x14ac:dyDescent="0.25">
      <c r="B134" s="5" t="s">
        <v>5</v>
      </c>
      <c r="C134" s="30"/>
      <c r="D134" s="98" t="e">
        <f>((D52-C52)/C52)*100</f>
        <v>#REF!</v>
      </c>
      <c r="E134" s="98">
        <v>-3.2253019474732962</v>
      </c>
      <c r="F134" s="98">
        <v>-1.0578209982410067</v>
      </c>
      <c r="G134" s="98">
        <v>16.956997566396627</v>
      </c>
      <c r="H134" s="98">
        <v>-3.8499124537460698</v>
      </c>
      <c r="I134" s="98">
        <v>-35.596281961569339</v>
      </c>
      <c r="J134" s="98">
        <v>-5.4252401901793288</v>
      </c>
      <c r="K134" s="99">
        <v>-4.3847389390683995</v>
      </c>
    </row>
    <row r="135" spans="2:11" x14ac:dyDescent="0.25">
      <c r="B135" s="5" t="s">
        <v>35</v>
      </c>
      <c r="C135" s="30"/>
      <c r="D135" s="102" t="e">
        <f>((D53-C53)/C53)*100</f>
        <v>#REF!</v>
      </c>
      <c r="E135" s="102">
        <v>67.223998282262571</v>
      </c>
      <c r="F135" s="102">
        <v>34.706056396340713</v>
      </c>
      <c r="G135" s="102">
        <v>21.824247248535215</v>
      </c>
      <c r="H135" s="102">
        <v>-36.775344792900732</v>
      </c>
      <c r="I135" s="102">
        <v>450.56634432075651</v>
      </c>
      <c r="J135" s="102">
        <v>-2.5780763966654225</v>
      </c>
      <c r="K135" s="139">
        <v>36.734016194538818</v>
      </c>
    </row>
    <row r="136" spans="2:11" x14ac:dyDescent="0.25">
      <c r="B136" s="32" t="s">
        <v>24</v>
      </c>
      <c r="C136" s="33"/>
      <c r="D136" s="33" t="e">
        <f>((D54-C54)/C54)*100</f>
        <v>#REF!</v>
      </c>
      <c r="E136" s="33">
        <v>4.3059645561881874</v>
      </c>
      <c r="F136" s="33">
        <v>5.0445398450406742</v>
      </c>
      <c r="G136" s="33">
        <v>13.743401592047604</v>
      </c>
      <c r="H136" s="33">
        <v>-2.5297681740426863</v>
      </c>
      <c r="I136" s="33">
        <v>11.747400236187861</v>
      </c>
      <c r="J136" s="33">
        <v>5.2976749093453428</v>
      </c>
      <c r="K136" s="140">
        <v>5.8374951877185302</v>
      </c>
    </row>
    <row r="137" spans="2:11" x14ac:dyDescent="0.25">
      <c r="B137" s="8" t="s">
        <v>6</v>
      </c>
      <c r="C137" s="30"/>
      <c r="D137" s="104" t="e">
        <f>((D56-C56)/C56)*100</f>
        <v>#REF!</v>
      </c>
      <c r="E137" s="104">
        <v>0</v>
      </c>
      <c r="F137" s="104">
        <v>0</v>
      </c>
      <c r="G137" s="104">
        <v>0</v>
      </c>
      <c r="H137" s="104">
        <v>0</v>
      </c>
      <c r="I137" s="104">
        <v>-5.5111297264358501E-4</v>
      </c>
      <c r="J137" s="104">
        <v>0</v>
      </c>
      <c r="K137" s="141">
        <v>0</v>
      </c>
    </row>
    <row r="138" spans="2:11" x14ac:dyDescent="0.25">
      <c r="B138" s="8" t="s">
        <v>67</v>
      </c>
      <c r="C138" s="30"/>
      <c r="D138" s="98" t="e">
        <f>((D57-C57)/C57)*100</f>
        <v>#REF!</v>
      </c>
      <c r="E138" s="98">
        <v>-5.3506667237710808</v>
      </c>
      <c r="F138" s="98">
        <v>-1.0040501991851418</v>
      </c>
      <c r="G138" s="98">
        <v>16.716988425370964</v>
      </c>
      <c r="H138" s="98">
        <v>16.967910782237116</v>
      </c>
      <c r="I138" s="98">
        <v>12.15215465063843</v>
      </c>
      <c r="J138" s="98">
        <v>2.6461691770788431</v>
      </c>
      <c r="K138" s="99">
        <v>12.445590843140415</v>
      </c>
    </row>
    <row r="139" spans="2:11" x14ac:dyDescent="0.25">
      <c r="B139" s="8" t="s">
        <v>7</v>
      </c>
      <c r="C139" s="30"/>
      <c r="D139" s="98" t="e">
        <f>((D58-C58)/C58)*100</f>
        <v>#REF!</v>
      </c>
      <c r="E139" s="98">
        <v>3.9554673036167443E-2</v>
      </c>
      <c r="F139" s="98">
        <v>-34.884668550714203</v>
      </c>
      <c r="G139" s="98">
        <v>-100</v>
      </c>
      <c r="H139" s="97" t="s">
        <v>81</v>
      </c>
      <c r="I139" s="97" t="s">
        <v>81</v>
      </c>
      <c r="J139" s="97" t="s">
        <v>81</v>
      </c>
      <c r="K139" s="142" t="s">
        <v>81</v>
      </c>
    </row>
    <row r="140" spans="2:11" x14ac:dyDescent="0.25">
      <c r="B140" s="8" t="s">
        <v>89</v>
      </c>
      <c r="C140" s="30"/>
      <c r="D140" s="98" t="e">
        <f>((D59-C59)/C59)*100</f>
        <v>#REF!</v>
      </c>
      <c r="E140" s="98">
        <v>4.1649098823266586</v>
      </c>
      <c r="F140" s="98">
        <v>33.157258305332597</v>
      </c>
      <c r="G140" s="98">
        <v>33.121458487402293</v>
      </c>
      <c r="H140" s="98">
        <v>-17.645426328143753</v>
      </c>
      <c r="I140" s="98">
        <v>-2.1271273364942611</v>
      </c>
      <c r="J140" s="98">
        <v>-27.668730392110874</v>
      </c>
      <c r="K140" s="99">
        <v>31.459655485040798</v>
      </c>
    </row>
    <row r="141" spans="2:11" x14ac:dyDescent="0.25">
      <c r="B141" s="49" t="s">
        <v>66</v>
      </c>
      <c r="C141" s="30"/>
      <c r="D141" s="98" t="e">
        <f>((D60-C60)/C60)*100</f>
        <v>#REF!</v>
      </c>
      <c r="E141" s="98">
        <v>-2.3967849035772373</v>
      </c>
      <c r="F141" s="98">
        <v>4.15772776264693</v>
      </c>
      <c r="G141" s="98">
        <v>14.269643464390702</v>
      </c>
      <c r="H141" s="98">
        <v>4.3727799574868751</v>
      </c>
      <c r="I141" s="98">
        <v>7.0527231176869858</v>
      </c>
      <c r="J141" s="98">
        <v>-3.9473154227252589</v>
      </c>
      <c r="K141" s="99">
        <v>13.483177478648606</v>
      </c>
    </row>
    <row r="142" spans="2:11" x14ac:dyDescent="0.25">
      <c r="B142" s="8" t="s">
        <v>62</v>
      </c>
      <c r="C142" s="30"/>
      <c r="D142" s="98" t="e">
        <f>((D61-C61)/C61)*100</f>
        <v>#REF!</v>
      </c>
      <c r="E142" s="98">
        <v>-12.477564541873145</v>
      </c>
      <c r="F142" s="98">
        <v>-24.320220428987817</v>
      </c>
      <c r="G142" s="98">
        <v>-25.752353921322801</v>
      </c>
      <c r="H142" s="98">
        <v>-58.03158227691987</v>
      </c>
      <c r="I142" s="98">
        <v>-85.488221826211912</v>
      </c>
      <c r="J142" s="98">
        <v>-42.857142857142854</v>
      </c>
      <c r="K142" s="99">
        <v>125</v>
      </c>
    </row>
    <row r="143" spans="2:11" x14ac:dyDescent="0.25">
      <c r="B143" s="49" t="s">
        <v>87</v>
      </c>
      <c r="C143" s="30"/>
      <c r="D143" s="98" t="e">
        <f>((D62-C62)/C62)*100</f>
        <v>#REF!</v>
      </c>
      <c r="E143" s="98">
        <v>-2.4376759035073898</v>
      </c>
      <c r="F143" s="98">
        <v>4.0540991791695502</v>
      </c>
      <c r="G143" s="98">
        <v>14.163720460123955</v>
      </c>
      <c r="H143" s="98">
        <v>4.2653659163585615</v>
      </c>
      <c r="I143" s="98">
        <v>6.9886076874601093</v>
      </c>
      <c r="J143" s="98">
        <v>-3.9509719686392444</v>
      </c>
      <c r="K143" s="99">
        <v>13.489412258019428</v>
      </c>
    </row>
    <row r="144" spans="2:11" x14ac:dyDescent="0.25">
      <c r="B144" s="5" t="s">
        <v>36</v>
      </c>
      <c r="C144" s="30"/>
      <c r="D144" s="98" t="e">
        <f>((D63-C63)/C63)*100</f>
        <v>#REF!</v>
      </c>
      <c r="E144" s="98">
        <v>14.957596442573351</v>
      </c>
      <c r="F144" s="98">
        <v>-13.436778589265137</v>
      </c>
      <c r="G144" s="98">
        <v>6.3986457841170807</v>
      </c>
      <c r="H144" s="98">
        <v>3.4685185187648022</v>
      </c>
      <c r="I144" s="98">
        <v>55.993209665212063</v>
      </c>
      <c r="J144" s="98">
        <v>77.99058284550776</v>
      </c>
      <c r="K144" s="99">
        <v>-5.097772852393379</v>
      </c>
    </row>
    <row r="145" spans="2:11" x14ac:dyDescent="0.25">
      <c r="B145" s="5" t="s">
        <v>26</v>
      </c>
      <c r="C145" s="30"/>
      <c r="D145" s="97" t="s">
        <v>81</v>
      </c>
      <c r="E145" s="98">
        <v>192.46323859820555</v>
      </c>
      <c r="F145" s="98">
        <v>-52.618680499956149</v>
      </c>
      <c r="G145" s="98">
        <v>-100</v>
      </c>
      <c r="H145" s="97" t="s">
        <v>81</v>
      </c>
      <c r="I145" s="97" t="s">
        <v>81</v>
      </c>
      <c r="J145" s="97" t="s">
        <v>81</v>
      </c>
      <c r="K145" s="142" t="s">
        <v>81</v>
      </c>
    </row>
    <row r="146" spans="2:11" x14ac:dyDescent="0.25">
      <c r="B146" s="5" t="s">
        <v>8</v>
      </c>
      <c r="C146" s="30"/>
      <c r="D146" s="98" t="e">
        <f>((D65-C65)/C65)*100</f>
        <v>#REF!</v>
      </c>
      <c r="E146" s="98">
        <v>-9.0755319133096091</v>
      </c>
      <c r="F146" s="98">
        <v>35.778700827169715</v>
      </c>
      <c r="G146" s="98">
        <v>-100</v>
      </c>
      <c r="H146" s="97" t="s">
        <v>81</v>
      </c>
      <c r="I146" s="97" t="s">
        <v>81</v>
      </c>
      <c r="J146" s="97" t="s">
        <v>81</v>
      </c>
      <c r="K146" s="142" t="s">
        <v>81</v>
      </c>
    </row>
    <row r="147" spans="2:11" x14ac:dyDescent="0.25">
      <c r="B147" s="5" t="s">
        <v>9</v>
      </c>
      <c r="C147" s="30"/>
      <c r="D147" s="98" t="e">
        <f>((D66-C66)/C66)*100</f>
        <v>#REF!</v>
      </c>
      <c r="E147" s="98">
        <v>15.948227713671049</v>
      </c>
      <c r="F147" s="98">
        <v>7.0181878260632029</v>
      </c>
      <c r="G147" s="98">
        <v>24.848874238106092</v>
      </c>
      <c r="H147" s="98">
        <v>4.6476942990470826</v>
      </c>
      <c r="I147" s="98">
        <v>148.60118946608574</v>
      </c>
      <c r="J147" s="98">
        <v>-57.567592896302891</v>
      </c>
      <c r="K147" s="99">
        <v>-1.5294572359339629</v>
      </c>
    </row>
    <row r="148" spans="2:11" x14ac:dyDescent="0.25">
      <c r="B148" s="5" t="s">
        <v>10</v>
      </c>
      <c r="C148" s="30"/>
      <c r="D148" s="98" t="e">
        <f>((D67-C67)/C67)*100</f>
        <v>#REF!</v>
      </c>
      <c r="E148" s="98">
        <v>14.150403444749312</v>
      </c>
      <c r="F148" s="98">
        <v>8.8730514260881375</v>
      </c>
      <c r="G148" s="98">
        <v>-100</v>
      </c>
      <c r="H148" s="97" t="s">
        <v>81</v>
      </c>
      <c r="I148" s="97" t="s">
        <v>81</v>
      </c>
      <c r="J148" s="97" t="s">
        <v>81</v>
      </c>
      <c r="K148" s="142" t="s">
        <v>81</v>
      </c>
    </row>
    <row r="149" spans="2:11" x14ac:dyDescent="0.25">
      <c r="B149" s="5" t="s">
        <v>11</v>
      </c>
      <c r="C149" s="30"/>
      <c r="D149" s="98" t="e">
        <f>((D68-C68)/C68)*100</f>
        <v>#REF!</v>
      </c>
      <c r="E149" s="98">
        <v>36.342423592319577</v>
      </c>
      <c r="F149" s="98">
        <v>-5.6821865170872528</v>
      </c>
      <c r="G149" s="98">
        <v>-100</v>
      </c>
      <c r="H149" s="97" t="s">
        <v>81</v>
      </c>
      <c r="I149" s="97" t="s">
        <v>81</v>
      </c>
      <c r="J149" s="97" t="s">
        <v>81</v>
      </c>
      <c r="K149" s="142" t="s">
        <v>81</v>
      </c>
    </row>
    <row r="150" spans="2:11" x14ac:dyDescent="0.25">
      <c r="B150" s="5" t="s">
        <v>12</v>
      </c>
      <c r="C150" s="30"/>
      <c r="D150" s="98" t="e">
        <f>((D69-C69)/C69)*100</f>
        <v>#REF!</v>
      </c>
      <c r="E150" s="98">
        <v>25.579685030782279</v>
      </c>
      <c r="F150" s="98">
        <v>13.090149519135236</v>
      </c>
      <c r="G150" s="98">
        <v>98.895953002238102</v>
      </c>
      <c r="H150" s="98">
        <v>-17.154526747860601</v>
      </c>
      <c r="I150" s="98">
        <v>-100</v>
      </c>
      <c r="J150" s="97" t="s">
        <v>81</v>
      </c>
      <c r="K150" s="142" t="s">
        <v>81</v>
      </c>
    </row>
    <row r="151" spans="2:11" x14ac:dyDescent="0.25">
      <c r="B151" s="5" t="s">
        <v>37</v>
      </c>
      <c r="C151" s="30"/>
      <c r="D151" s="102" t="e">
        <f>((D70-C70)/C70)*100</f>
        <v>#REF!</v>
      </c>
      <c r="E151" s="102">
        <v>-34.663730777638001</v>
      </c>
      <c r="F151" s="102">
        <v>-56.532546531364773</v>
      </c>
      <c r="G151" s="102">
        <v>-94.53326272997775</v>
      </c>
      <c r="H151" s="102">
        <v>565.9696244519314</v>
      </c>
      <c r="I151" s="102">
        <v>-9.3812890370176899E-2</v>
      </c>
      <c r="J151" s="102">
        <v>18.036809815950921</v>
      </c>
      <c r="K151" s="139">
        <v>-100</v>
      </c>
    </row>
    <row r="152" spans="2:11" x14ac:dyDescent="0.25">
      <c r="B152" s="24" t="s">
        <v>25</v>
      </c>
      <c r="C152" s="33"/>
      <c r="D152" s="33" t="e">
        <f>((D71-C71)/C71)*100</f>
        <v>#REF!</v>
      </c>
      <c r="E152" s="33">
        <v>4.3059646584652826</v>
      </c>
      <c r="F152" s="33">
        <v>5.0445398450406529</v>
      </c>
      <c r="G152" s="33">
        <v>13.743401592735585</v>
      </c>
      <c r="H152" s="33">
        <v>-2.5297681740273852</v>
      </c>
      <c r="I152" s="33">
        <v>11.74740023549441</v>
      </c>
      <c r="J152" s="33">
        <v>5.2976749093453428</v>
      </c>
      <c r="K152" s="140">
        <v>5.8374951877185302</v>
      </c>
    </row>
    <row r="153" spans="2:11" x14ac:dyDescent="0.25">
      <c r="D153" s="23"/>
      <c r="H153" s="23"/>
      <c r="J153" s="23"/>
    </row>
    <row r="154" spans="2:11" s="4" customFormat="1" x14ac:dyDescent="0.25">
      <c r="B154" s="2" t="s">
        <v>60</v>
      </c>
      <c r="C154" s="3">
        <v>41639</v>
      </c>
      <c r="D154" s="120">
        <v>2014</v>
      </c>
      <c r="E154" s="120">
        <v>2015</v>
      </c>
      <c r="F154" s="120">
        <v>2016</v>
      </c>
      <c r="G154" s="120">
        <v>2017</v>
      </c>
      <c r="H154" s="120">
        <v>2018</v>
      </c>
      <c r="I154" s="121" t="s">
        <v>101</v>
      </c>
      <c r="J154" s="121" t="s">
        <v>102</v>
      </c>
      <c r="K154" s="134" t="s">
        <v>105</v>
      </c>
    </row>
    <row r="155" spans="2:11" x14ac:dyDescent="0.25">
      <c r="B155" s="81"/>
      <c r="C155" s="82"/>
      <c r="D155" s="82"/>
      <c r="E155" s="82"/>
      <c r="F155" s="82"/>
      <c r="G155" s="82"/>
      <c r="H155" s="82"/>
      <c r="I155" s="23"/>
      <c r="J155" s="23"/>
      <c r="K155" s="129"/>
    </row>
    <row r="156" spans="2:11" s="4" customFormat="1" x14ac:dyDescent="0.25">
      <c r="B156" s="34" t="s">
        <v>41</v>
      </c>
      <c r="C156" s="11"/>
      <c r="D156" s="11"/>
      <c r="E156" s="11"/>
      <c r="F156" s="11"/>
      <c r="G156" s="11"/>
      <c r="H156" s="11"/>
      <c r="I156" s="11"/>
      <c r="J156" s="11"/>
      <c r="K156" s="12"/>
    </row>
    <row r="157" spans="2:11" x14ac:dyDescent="0.25">
      <c r="B157" s="8" t="s">
        <v>50</v>
      </c>
      <c r="C157" s="30" t="e">
        <f>(C32/C5)*100</f>
        <v>#REF!</v>
      </c>
      <c r="D157" s="105" t="e">
        <f>D37*100/D5</f>
        <v>#REF!</v>
      </c>
      <c r="E157" s="105">
        <v>12.078761400438953</v>
      </c>
      <c r="F157" s="105">
        <v>15.578383566662762</v>
      </c>
      <c r="G157" s="105">
        <v>19.441247919613549</v>
      </c>
      <c r="H157" s="105">
        <v>16.26922816655734</v>
      </c>
      <c r="I157" s="105">
        <v>16.910519667644738</v>
      </c>
      <c r="J157" s="105">
        <v>12.393489062254098</v>
      </c>
      <c r="K157" s="106">
        <v>17.067573610751523</v>
      </c>
    </row>
    <row r="158" spans="2:11" x14ac:dyDescent="0.25">
      <c r="B158" s="8" t="s">
        <v>51</v>
      </c>
      <c r="C158" s="30" t="e">
        <f>(C5/C54)*100</f>
        <v>#REF!</v>
      </c>
      <c r="D158" s="107" t="e">
        <f>D5*100/D54</f>
        <v>#REF!</v>
      </c>
      <c r="E158" s="107">
        <v>64.098927426139383</v>
      </c>
      <c r="F158" s="107">
        <v>62.651792013710036</v>
      </c>
      <c r="G158" s="107">
        <v>58.736425715216875</v>
      </c>
      <c r="H158" s="107">
        <v>59.270254140924337</v>
      </c>
      <c r="I158" s="107">
        <v>50.0201483793224</v>
      </c>
      <c r="J158" s="107">
        <v>46.914075066317196</v>
      </c>
      <c r="K158" s="108">
        <v>42.34134577054931</v>
      </c>
    </row>
    <row r="159" spans="2:11" x14ac:dyDescent="0.25">
      <c r="B159" s="8" t="s">
        <v>52</v>
      </c>
      <c r="C159" s="30" t="e">
        <f>(C54/(C56+C60+C61))*100</f>
        <v>#REF!</v>
      </c>
      <c r="D159" s="109" t="e">
        <f>D54*100/D62</f>
        <v>#REF!</v>
      </c>
      <c r="E159" s="109">
        <v>246.16853961221682</v>
      </c>
      <c r="F159" s="109">
        <v>248.51169893235303</v>
      </c>
      <c r="G159" s="109">
        <v>247.59674840710747</v>
      </c>
      <c r="H159" s="109">
        <v>231.46048790500271</v>
      </c>
      <c r="I159" s="109">
        <v>241.75571904199333</v>
      </c>
      <c r="J159" s="109">
        <v>265.03459361241175</v>
      </c>
      <c r="K159" s="110">
        <v>247.16488496970294</v>
      </c>
    </row>
    <row r="160" spans="2:11" x14ac:dyDescent="0.25">
      <c r="B160" s="8" t="s">
        <v>53</v>
      </c>
      <c r="C160" s="30" t="e">
        <f>(C32/(C56+C60+C61))*100</f>
        <v>#REF!</v>
      </c>
      <c r="D160" s="109" t="e">
        <f>D37*100/D62</f>
        <v>#REF!</v>
      </c>
      <c r="E160" s="109">
        <v>19.059245937576357</v>
      </c>
      <c r="F160" s="109">
        <v>24.255080962902923</v>
      </c>
      <c r="G160" s="109">
        <v>28.27330579416591</v>
      </c>
      <c r="H160" s="109">
        <v>22.319301742326665</v>
      </c>
      <c r="I160" s="109">
        <v>20.449311298464178</v>
      </c>
      <c r="J160" s="109">
        <v>15.4098818925152</v>
      </c>
      <c r="K160" s="110">
        <v>17.861717325976649</v>
      </c>
    </row>
    <row r="161" spans="2:11" x14ac:dyDescent="0.25">
      <c r="B161" s="8" t="s">
        <v>54</v>
      </c>
      <c r="C161" s="30" t="e">
        <f>(C32/C54)*100</f>
        <v>#REF!</v>
      </c>
      <c r="D161" s="109" t="e">
        <f>D37*100/D54</f>
        <v>#REF!</v>
      </c>
      <c r="E161" s="109">
        <v>7.7423565040439017</v>
      </c>
      <c r="F161" s="109">
        <v>9.7601364712835359</v>
      </c>
      <c r="G161" s="109">
        <v>11.419094142414959</v>
      </c>
      <c r="H161" s="109">
        <v>9.6428128810853782</v>
      </c>
      <c r="I161" s="109">
        <v>8.4586670294703961</v>
      </c>
      <c r="J161" s="109">
        <v>5.8142907620016979</v>
      </c>
      <c r="K161" s="110">
        <v>7.2266403571713305</v>
      </c>
    </row>
    <row r="162" spans="2:11" x14ac:dyDescent="0.25">
      <c r="B162" s="8" t="s">
        <v>55</v>
      </c>
      <c r="C162" s="30" t="e">
        <f>(#REF!/#REF!)*100</f>
        <v>#REF!</v>
      </c>
      <c r="D162" s="98" t="e">
        <f>(#REF!/#REF!)*100</f>
        <v>#REF!</v>
      </c>
      <c r="E162" s="98">
        <v>94.433191740377836</v>
      </c>
      <c r="F162" s="98">
        <v>92.371785668681383</v>
      </c>
      <c r="G162" s="98">
        <v>90.182428702035622</v>
      </c>
      <c r="H162" s="98">
        <v>94.997972142746846</v>
      </c>
      <c r="I162" s="98">
        <v>95.136521568558763</v>
      </c>
      <c r="J162" s="98">
        <v>93.893292614465679</v>
      </c>
      <c r="K162" s="99">
        <v>94.529111098055338</v>
      </c>
    </row>
    <row r="163" spans="2:11" x14ac:dyDescent="0.25">
      <c r="B163" s="135"/>
      <c r="C163" s="136"/>
      <c r="D163" s="136"/>
      <c r="E163" s="136"/>
      <c r="F163" s="136"/>
      <c r="G163" s="136"/>
      <c r="H163" s="136"/>
      <c r="I163" s="136"/>
      <c r="J163" s="136"/>
      <c r="K163" s="137"/>
    </row>
    <row r="164" spans="2:11" s="4" customFormat="1" x14ac:dyDescent="0.25">
      <c r="B164" s="34" t="s">
        <v>42</v>
      </c>
      <c r="C164" s="11"/>
      <c r="D164" s="11"/>
      <c r="E164" s="11"/>
      <c r="F164" s="11"/>
      <c r="G164" s="11"/>
      <c r="H164" s="11"/>
      <c r="I164" s="11"/>
      <c r="J164" s="11"/>
      <c r="K164" s="12"/>
    </row>
    <row r="165" spans="2:11" x14ac:dyDescent="0.25">
      <c r="B165" s="8" t="s">
        <v>56</v>
      </c>
      <c r="C165" s="30" t="e">
        <f>((C52+C51)/(C69+C68+C67+C66+C65+C64))*100</f>
        <v>#REF!</v>
      </c>
      <c r="D165" s="95" t="e">
        <f>((D52+D51)/(D69+D68+D67+D66+D65+D64))*100</f>
        <v>#REF!</v>
      </c>
      <c r="E165" s="95">
        <v>109.43573292504962</v>
      </c>
      <c r="F165" s="95">
        <v>95.471192312272819</v>
      </c>
      <c r="G165" s="95">
        <v>95.247384825163721</v>
      </c>
      <c r="H165" s="95">
        <v>100.58864228968085</v>
      </c>
      <c r="I165" s="95">
        <v>102.76606397774688</v>
      </c>
      <c r="J165" s="95">
        <v>98.296356311250705</v>
      </c>
      <c r="K165" s="96">
        <v>108.41250201732207</v>
      </c>
    </row>
    <row r="166" spans="2:11" x14ac:dyDescent="0.25">
      <c r="B166" s="8" t="s">
        <v>57</v>
      </c>
      <c r="C166" s="30" t="e">
        <f>((C51+C52)/C54)*100</f>
        <v>#REF!</v>
      </c>
      <c r="D166" s="98" t="e">
        <f>((D51+D52)/D54)*100</f>
        <v>#REF!</v>
      </c>
      <c r="E166" s="98">
        <v>52.542173536063927</v>
      </c>
      <c r="F166" s="98">
        <v>49.571418061791924</v>
      </c>
      <c r="G166" s="98">
        <v>51.098518724000073</v>
      </c>
      <c r="H166" s="98">
        <v>50.332525398936689</v>
      </c>
      <c r="I166" s="98">
        <v>51.289156425790907</v>
      </c>
      <c r="J166" s="98">
        <v>46.707344728112687</v>
      </c>
      <c r="K166" s="99">
        <v>50.209280076536714</v>
      </c>
    </row>
    <row r="167" spans="2:11" x14ac:dyDescent="0.25">
      <c r="B167" s="8" t="s">
        <v>48</v>
      </c>
      <c r="C167" s="30" t="e">
        <f>C51/(-C11/360)</f>
        <v>#REF!</v>
      </c>
      <c r="D167" s="98" t="e">
        <f>D51/(-D11/360)</f>
        <v>#REF!</v>
      </c>
      <c r="E167" s="98">
        <v>70.610600732627134</v>
      </c>
      <c r="F167" s="98">
        <v>80.913066264368112</v>
      </c>
      <c r="G167" s="98">
        <v>98.19229038742759</v>
      </c>
      <c r="H167" s="98">
        <v>92.644812300857183</v>
      </c>
      <c r="I167" s="97" t="s">
        <v>81</v>
      </c>
      <c r="J167" s="97" t="s">
        <v>81</v>
      </c>
      <c r="K167" s="142" t="s">
        <v>81</v>
      </c>
    </row>
    <row r="168" spans="2:11" x14ac:dyDescent="0.25">
      <c r="B168" s="8" t="s">
        <v>47</v>
      </c>
      <c r="C168" s="30" t="e">
        <f>C5/C51</f>
        <v>#REF!</v>
      </c>
      <c r="D168" s="98" t="e">
        <f>D5/D51</f>
        <v>#REF!</v>
      </c>
      <c r="E168" s="98">
        <v>45.073432059068438</v>
      </c>
      <c r="F168" s="98">
        <v>44.087851241789252</v>
      </c>
      <c r="G168" s="98">
        <v>36.992931741575781</v>
      </c>
      <c r="H168" s="98">
        <v>39.715834521301112</v>
      </c>
      <c r="I168" s="98">
        <v>60.575509751176867</v>
      </c>
      <c r="J168" s="98">
        <v>60.188092016238159</v>
      </c>
      <c r="K168" s="99">
        <v>60.82605583392985</v>
      </c>
    </row>
    <row r="169" spans="2:11" x14ac:dyDescent="0.25">
      <c r="B169" s="8" t="s">
        <v>69</v>
      </c>
      <c r="C169" s="30" t="e">
        <f>(C52/(C5*1.2))*360</f>
        <v>#REF!</v>
      </c>
      <c r="D169" s="98" t="e">
        <f>(D52/(D5*1.2))*360</f>
        <v>#REF!</v>
      </c>
      <c r="E169" s="98">
        <v>239.25551766090268</v>
      </c>
      <c r="F169" s="98">
        <v>230.56172607290421</v>
      </c>
      <c r="G169" s="98">
        <v>252.87925084113365</v>
      </c>
      <c r="H169" s="98">
        <v>247.20747954813604</v>
      </c>
      <c r="I169" s="98">
        <v>168.82118027217149</v>
      </c>
      <c r="J169" s="98">
        <v>161.66842779738755</v>
      </c>
      <c r="K169" s="99">
        <v>161.8271471273566</v>
      </c>
    </row>
    <row r="170" spans="2:11" x14ac:dyDescent="0.25">
      <c r="B170" s="8" t="s">
        <v>70</v>
      </c>
      <c r="C170" s="30" t="e">
        <f>(C66/(C5*1.2))*360</f>
        <v>#REF!</v>
      </c>
      <c r="D170" s="100" t="e">
        <f>(D66/(D5*1.2))*360</f>
        <v>#REF!</v>
      </c>
      <c r="E170" s="100">
        <v>83.064644692899833</v>
      </c>
      <c r="F170" s="100">
        <v>86.580000978594441</v>
      </c>
      <c r="G170" s="100">
        <v>101.3682590214305</v>
      </c>
      <c r="H170" s="100">
        <v>107.85254014736618</v>
      </c>
      <c r="I170" s="100">
        <v>284.3072704680236</v>
      </c>
      <c r="J170" s="100">
        <v>122.15427505114774</v>
      </c>
      <c r="K170" s="101">
        <v>125.92557723538965</v>
      </c>
    </row>
    <row r="171" spans="2:11" x14ac:dyDescent="0.25">
      <c r="B171" s="135"/>
      <c r="C171" s="136"/>
      <c r="D171" s="136"/>
      <c r="E171" s="136"/>
      <c r="F171" s="136"/>
      <c r="G171" s="136"/>
      <c r="H171" s="136"/>
      <c r="I171" s="136"/>
      <c r="J171" s="136"/>
      <c r="K171" s="137"/>
    </row>
    <row r="172" spans="2:11" s="4" customFormat="1" x14ac:dyDescent="0.25">
      <c r="B172" s="34" t="s">
        <v>43</v>
      </c>
      <c r="C172" s="11"/>
      <c r="D172" s="11"/>
      <c r="E172" s="11"/>
      <c r="F172" s="11"/>
      <c r="G172" s="11"/>
      <c r="H172" s="11"/>
      <c r="I172" s="11"/>
      <c r="J172" s="11"/>
      <c r="K172" s="12"/>
    </row>
    <row r="173" spans="2:11" x14ac:dyDescent="0.25">
      <c r="B173" s="5" t="s">
        <v>92</v>
      </c>
      <c r="C173" s="30" t="e">
        <f>(C63/(C56+C60+C61))*100</f>
        <v>#REF!</v>
      </c>
      <c r="D173" s="105" t="e">
        <f>(D63+D70)*100/D62</f>
        <v>#REF!</v>
      </c>
      <c r="E173" s="105">
        <v>27.978349061906155</v>
      </c>
      <c r="F173" s="105">
        <v>19.4772014817726</v>
      </c>
      <c r="G173" s="105">
        <v>14.765520467745194</v>
      </c>
      <c r="H173" s="105">
        <v>15.642333678066747</v>
      </c>
      <c r="I173" s="105">
        <v>22.192836430028997</v>
      </c>
      <c r="J173" s="105">
        <v>40.443077783213361</v>
      </c>
      <c r="K173" s="106">
        <v>32.694960342874033</v>
      </c>
    </row>
    <row r="174" spans="2:11" x14ac:dyDescent="0.25">
      <c r="B174" s="5" t="s">
        <v>58</v>
      </c>
      <c r="C174" s="30" t="e">
        <f>C20/(#REF!)</f>
        <v>#REF!</v>
      </c>
      <c r="D174" s="109" t="e">
        <f>D20/(#REF!/1000000)</f>
        <v>#REF!</v>
      </c>
      <c r="E174" s="109">
        <v>11.488932742393441</v>
      </c>
      <c r="F174" s="109">
        <v>12.131516382444934</v>
      </c>
      <c r="G174" s="109">
        <v>24.033292168606934</v>
      </c>
      <c r="H174" s="109">
        <v>13.669960150478142</v>
      </c>
      <c r="I174" s="109">
        <v>11.852866077498295</v>
      </c>
      <c r="J174" s="109">
        <v>6.3902686264571722</v>
      </c>
      <c r="K174" s="110">
        <v>7.4793632075471699</v>
      </c>
    </row>
    <row r="175" spans="2:11" x14ac:dyDescent="0.25">
      <c r="B175" s="35" t="s">
        <v>93</v>
      </c>
      <c r="C175" s="36" t="e">
        <f>(C63/C20)*100</f>
        <v>#REF!</v>
      </c>
      <c r="D175" s="111" t="e">
        <f>(D63+D70)/D20</f>
        <v>#REF!</v>
      </c>
      <c r="E175" s="111">
        <v>1.2961485210793853</v>
      </c>
      <c r="F175" s="111">
        <v>0.9437508790352247</v>
      </c>
      <c r="G175" s="111">
        <v>0.57731044418280186</v>
      </c>
      <c r="H175" s="111">
        <v>0.98951817055944502</v>
      </c>
      <c r="I175" s="111">
        <v>1.8962389864487346</v>
      </c>
      <c r="J175" s="111">
        <v>2.2949714467005076</v>
      </c>
      <c r="K175" s="112">
        <v>2.0927867560110367</v>
      </c>
    </row>
    <row r="176" spans="2:11" x14ac:dyDescent="0.25">
      <c r="J176" s="23"/>
    </row>
    <row r="177" spans="2:11" x14ac:dyDescent="0.25">
      <c r="J177" s="23"/>
    </row>
    <row r="178" spans="2:11" x14ac:dyDescent="0.25">
      <c r="B178" s="37" t="s">
        <v>44</v>
      </c>
      <c r="C178" s="38"/>
      <c r="D178" s="38"/>
      <c r="E178" s="38"/>
      <c r="F178" s="38"/>
      <c r="G178" s="38"/>
      <c r="H178" s="38"/>
      <c r="I178" s="38"/>
      <c r="J178" s="38"/>
      <c r="K178" s="39"/>
    </row>
    <row r="179" spans="2:11" x14ac:dyDescent="0.25">
      <c r="B179" s="40" t="s">
        <v>59</v>
      </c>
      <c r="C179" s="41"/>
      <c r="D179" s="41"/>
      <c r="E179" s="41"/>
      <c r="F179" s="41"/>
      <c r="G179" s="41"/>
      <c r="H179" s="41"/>
      <c r="I179" s="41"/>
      <c r="J179" s="41"/>
      <c r="K179" s="42"/>
    </row>
    <row r="180" spans="2:11" x14ac:dyDescent="0.25">
      <c r="B180" s="40" t="s">
        <v>45</v>
      </c>
      <c r="C180" s="41"/>
      <c r="D180" s="41"/>
      <c r="E180" s="41"/>
      <c r="F180" s="41"/>
      <c r="G180" s="41"/>
      <c r="H180" s="41"/>
      <c r="I180" s="41"/>
      <c r="J180" s="41"/>
      <c r="K180" s="42"/>
    </row>
    <row r="181" spans="2:11" x14ac:dyDescent="0.25">
      <c r="B181" s="40" t="s">
        <v>49</v>
      </c>
      <c r="C181" s="41"/>
      <c r="D181" s="41"/>
      <c r="E181" s="41"/>
      <c r="F181" s="41"/>
      <c r="G181" s="41"/>
      <c r="H181" s="41"/>
      <c r="I181" s="41"/>
      <c r="J181" s="41"/>
      <c r="K181" s="42"/>
    </row>
    <row r="182" spans="2:11" x14ac:dyDescent="0.25">
      <c r="B182" s="40" t="s">
        <v>94</v>
      </c>
      <c r="C182" s="41"/>
      <c r="D182" s="41"/>
      <c r="E182" s="41"/>
      <c r="F182" s="41"/>
      <c r="G182" s="41"/>
      <c r="H182" s="41"/>
      <c r="I182" s="41"/>
      <c r="J182" s="41"/>
      <c r="K182" s="42"/>
    </row>
    <row r="183" spans="2:11" x14ac:dyDescent="0.25">
      <c r="B183" s="40" t="s">
        <v>95</v>
      </c>
      <c r="C183" s="41"/>
      <c r="D183" s="41"/>
      <c r="E183" s="41"/>
      <c r="F183" s="41"/>
      <c r="G183" s="41"/>
      <c r="H183" s="41"/>
      <c r="I183" s="41"/>
      <c r="J183" s="41"/>
      <c r="K183" s="42"/>
    </row>
    <row r="184" spans="2:11" x14ac:dyDescent="0.25">
      <c r="B184" s="40" t="s">
        <v>46</v>
      </c>
      <c r="C184" s="41"/>
      <c r="D184" s="41"/>
      <c r="E184" s="41"/>
      <c r="F184" s="41"/>
      <c r="G184" s="41"/>
      <c r="H184" s="41"/>
      <c r="I184" s="41"/>
      <c r="J184" s="41"/>
      <c r="K184" s="42"/>
    </row>
    <row r="185" spans="2:11" x14ac:dyDescent="0.25">
      <c r="B185" s="40" t="s">
        <v>96</v>
      </c>
      <c r="C185" s="41"/>
      <c r="D185" s="41"/>
      <c r="E185" s="41"/>
      <c r="F185" s="41"/>
      <c r="G185" s="41"/>
      <c r="H185" s="41"/>
      <c r="I185" s="41"/>
      <c r="J185" s="41"/>
      <c r="K185" s="42"/>
    </row>
    <row r="186" spans="2:11" x14ac:dyDescent="0.25">
      <c r="B186" s="40" t="s">
        <v>97</v>
      </c>
      <c r="C186" s="41"/>
      <c r="D186" s="41"/>
      <c r="E186" s="41"/>
      <c r="F186" s="41"/>
      <c r="G186" s="41"/>
      <c r="H186" s="41"/>
      <c r="I186" s="41"/>
      <c r="J186" s="41"/>
      <c r="K186" s="42"/>
    </row>
    <row r="187" spans="2:11" x14ac:dyDescent="0.25">
      <c r="B187" s="40" t="s">
        <v>98</v>
      </c>
      <c r="C187" s="41"/>
      <c r="D187" s="41"/>
      <c r="E187" s="41"/>
      <c r="F187" s="41"/>
      <c r="G187" s="41"/>
      <c r="H187" s="41"/>
      <c r="I187" s="41"/>
      <c r="J187" s="41"/>
      <c r="K187" s="42"/>
    </row>
    <row r="188" spans="2:11" x14ac:dyDescent="0.25">
      <c r="B188" s="43" t="s">
        <v>99</v>
      </c>
      <c r="C188" s="44"/>
      <c r="D188" s="44"/>
      <c r="E188" s="44"/>
      <c r="F188" s="44"/>
      <c r="G188" s="44"/>
      <c r="H188" s="44"/>
      <c r="I188" s="44"/>
      <c r="J188" s="44"/>
      <c r="K188" s="45"/>
    </row>
    <row r="189" spans="2:11" x14ac:dyDescent="0.25">
      <c r="J189" s="23"/>
    </row>
    <row r="190" spans="2:11" x14ac:dyDescent="0.25">
      <c r="J190" s="23"/>
    </row>
    <row r="191" spans="2:11" x14ac:dyDescent="0.25">
      <c r="J191" s="23"/>
    </row>
    <row r="192" spans="2:11" x14ac:dyDescent="0.25">
      <c r="J192" s="23"/>
    </row>
    <row r="193" spans="10:10" x14ac:dyDescent="0.25">
      <c r="J193" s="23"/>
    </row>
    <row r="194" spans="10:10" x14ac:dyDescent="0.25">
      <c r="J194" s="23"/>
    </row>
    <row r="195" spans="10:10" x14ac:dyDescent="0.25">
      <c r="J195" s="23"/>
    </row>
  </sheetData>
  <phoneticPr fontId="17" type="noConversion"/>
  <pageMargins left="0.78740157499999996" right="0.78740157499999996" top="0.984251969" bottom="0.984251969" header="0.3" footer="0.3"/>
  <pageSetup paperSize="9" orientation="portrait" r:id="rId1"/>
  <ignoredErrors>
    <ignoredError sqref="C15:D15" emptyCellReference="1"/>
    <ignoredError sqref="C57:D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données &amp; 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FP-Consulting</dc:creator>
  <cp:lastModifiedBy>Anouar Hassoune</cp:lastModifiedBy>
  <cp:lastPrinted>2014-05-08T11:46:14Z</cp:lastPrinted>
  <dcterms:created xsi:type="dcterms:W3CDTF">2013-02-17T08:35:08Z</dcterms:created>
  <dcterms:modified xsi:type="dcterms:W3CDTF">2022-01-09T08:20:20Z</dcterms:modified>
</cp:coreProperties>
</file>